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445" firstSheet="1" activeTab="1"/>
  </bookViews>
  <sheets>
    <sheet name="JRplotdata" sheetId="1" state="veryHidden" r:id="rId1"/>
    <sheet name="Tjek din løn" sheetId="2" r:id="rId2"/>
  </sheets>
  <definedNames>
    <definedName name="_xlnm.Print_Area" localSheetId="1">'Tjek din løn'!$A$20:$M$42</definedName>
  </definedNames>
  <calcPr fullCalcOnLoad="1"/>
</workbook>
</file>

<file path=xl/sharedStrings.xml><?xml version="1.0" encoding="utf-8"?>
<sst xmlns="http://schemas.openxmlformats.org/spreadsheetml/2006/main" count="109" uniqueCount="39">
  <si>
    <t>gns</t>
  </si>
  <si>
    <t>percentil, alle</t>
  </si>
  <si>
    <t>percentil, samme anc.</t>
  </si>
  <si>
    <t>anc</t>
  </si>
  <si>
    <t>alder</t>
  </si>
  <si>
    <t>Anc</t>
  </si>
  <si>
    <t>min</t>
  </si>
  <si>
    <t>max</t>
  </si>
  <si>
    <t>Ukendt</t>
  </si>
  <si>
    <t>I alt</t>
  </si>
  <si>
    <t>Median</t>
  </si>
  <si>
    <t xml:space="preserve"> Din løn     </t>
  </si>
  <si>
    <t>y-værdi</t>
  </si>
  <si>
    <t xml:space="preserve">  min. - max.</t>
  </si>
  <si>
    <t>år</t>
  </si>
  <si>
    <t>Hvad er din alder?</t>
  </si>
  <si>
    <t>kr. per måned</t>
  </si>
  <si>
    <t>Hvad er din beskæftigelsesgrad?, Angiv som et decimaltal, f.eks. 0,5 hvis den er halv tid</t>
  </si>
  <si>
    <t>Tjek din løn!</t>
  </si>
  <si>
    <t>Beskæftigelsesgraden skal være et tal større end 0 og højst 1</t>
  </si>
  <si>
    <t>I de lyseblå felter nedenfor kan du indtaste de efterspurgte oplysninger (husk retur efter sidste indtastning)</t>
  </si>
  <si>
    <t>ved at forhøje den aktuelle månedlige løn med 1000 kr.</t>
  </si>
  <si>
    <t>God fornøjelse!</t>
  </si>
  <si>
    <t>Se om den løn du får, ligger på niveau med andre gymnasielærere!</t>
  </si>
  <si>
    <t>Du kan jo også prøve at se, hvordan det ser ud, hvis du f.eks. får et yderligere tillæg på 1000 kr om måneden</t>
  </si>
  <si>
    <t>Det kan vist ikke være rigtigt!</t>
  </si>
  <si>
    <t>Scroll ned når de blå felter er udfyldt!</t>
  </si>
  <si>
    <t>Regnearket er blevet for gammelt - hent et nyt på GLs hjemmeside, www.gl.org</t>
  </si>
  <si>
    <t>Gns</t>
  </si>
  <si>
    <t/>
  </si>
  <si>
    <t>Scroll derefter ned og se hvordan du ligger lønmæssigt i forhold til andre</t>
  </si>
  <si>
    <r>
      <t xml:space="preserve">Hvor mange fulde år </t>
    </r>
    <r>
      <rPr>
        <b/>
        <sz val="11"/>
        <rFont val="Calibri"/>
        <family val="2"/>
      </rPr>
      <t>har</t>
    </r>
    <r>
      <rPr>
        <sz val="11"/>
        <rFont val="Calibri"/>
        <family val="2"/>
      </rPr>
      <t xml:space="preserve"> du arbejdet som akademiker efter din kandidateksamen?</t>
    </r>
  </si>
  <si>
    <t>kandidatuddannede lærere på STX/HF eller HHX/HTX</t>
  </si>
  <si>
    <t>HHX/HTX, sæt x</t>
  </si>
  <si>
    <t>STX/HF, sæt x</t>
  </si>
  <si>
    <t>Hvor er du ansat, på det erhvervsgymnasiale</t>
  </si>
  <si>
    <t xml:space="preserve"> eller almengymnasiale område?</t>
  </si>
  <si>
    <t>Sidste lønseddel</t>
  </si>
  <si>
    <t>x</t>
  </si>
</sst>
</file>

<file path=xl/styles.xml><?xml version="1.0" encoding="utf-8"?>
<styleSheet xmlns="http://schemas.openxmlformats.org/spreadsheetml/2006/main">
  <numFmts count="2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[$-406]d\.\ mmmm\ yyyy"/>
    <numFmt numFmtId="173" formatCode="[$-406]mmmmm;@"/>
    <numFmt numFmtId="174" formatCode="[$-406]mmmmm/yy;@"/>
    <numFmt numFmtId="175" formatCode="[$-406]mmmm\ 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sz val="14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3"/>
      <color indexed="9"/>
      <name val="Arial"/>
      <family val="0"/>
    </font>
    <font>
      <sz val="5.2"/>
      <color indexed="8"/>
      <name val="Arial"/>
      <family val="0"/>
    </font>
    <font>
      <sz val="6.3"/>
      <color indexed="8"/>
      <name val="Arial"/>
      <family val="0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52"/>
      <name val="Calibri"/>
      <family val="2"/>
    </font>
    <font>
      <b/>
      <sz val="18"/>
      <color indexed="21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23" borderId="2" applyNumberFormat="0" applyAlignment="0" applyProtection="0"/>
    <xf numFmtId="0" fontId="41" fillId="24" borderId="3" applyNumberFormat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0" fillId="34" borderId="10" xfId="0" applyFill="1" applyBorder="1" applyAlignment="1" applyProtection="1">
      <alignment vertical="center"/>
      <protection locked="0"/>
    </xf>
    <xf numFmtId="3" fontId="0" fillId="34" borderId="10" xfId="0" applyNumberFormat="1" applyFill="1" applyBorder="1" applyAlignment="1" applyProtection="1">
      <alignment vertical="center"/>
      <protection locked="0"/>
    </xf>
    <xf numFmtId="0" fontId="0" fillId="33" borderId="0" xfId="0" applyFill="1" applyAlignment="1">
      <alignment vertical="center"/>
    </xf>
    <xf numFmtId="0" fontId="0" fillId="33" borderId="0" xfId="0" applyNumberFormat="1" applyFill="1" applyAlignment="1">
      <alignment/>
    </xf>
    <xf numFmtId="0" fontId="41" fillId="33" borderId="0" xfId="0" applyFont="1" applyFill="1" applyAlignment="1">
      <alignment vertical="center"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0" fillId="0" borderId="14" xfId="0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35" fillId="0" borderId="0" xfId="0" applyFont="1" applyAlignment="1">
      <alignment/>
    </xf>
    <xf numFmtId="0" fontId="51" fillId="33" borderId="0" xfId="0" applyFont="1" applyFill="1" applyAlignment="1">
      <alignment vertical="top"/>
    </xf>
    <xf numFmtId="0" fontId="2" fillId="33" borderId="13" xfId="0" applyFont="1" applyFill="1" applyBorder="1" applyAlignment="1" applyProtection="1">
      <alignment/>
      <protection hidden="1"/>
    </xf>
    <xf numFmtId="0" fontId="35" fillId="33" borderId="0" xfId="0" applyFont="1" applyFill="1" applyAlignment="1">
      <alignment/>
    </xf>
    <xf numFmtId="0" fontId="35" fillId="35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35" borderId="0" xfId="0" applyFill="1" applyAlignment="1">
      <alignment/>
    </xf>
    <xf numFmtId="0" fontId="10" fillId="35" borderId="0" xfId="0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top"/>
    </xf>
    <xf numFmtId="0" fontId="0" fillId="35" borderId="0" xfId="0" applyFont="1" applyFill="1" applyAlignment="1">
      <alignment vertical="top"/>
    </xf>
    <xf numFmtId="0" fontId="49" fillId="33" borderId="0" xfId="0" applyFont="1" applyFill="1" applyAlignment="1">
      <alignment vertical="top"/>
    </xf>
    <xf numFmtId="14" fontId="0" fillId="34" borderId="10" xfId="0" applyNumberFormat="1" applyFill="1" applyBorder="1" applyAlignment="1" applyProtection="1">
      <alignment horizontal="center" vertical="center"/>
      <protection locked="0"/>
    </xf>
    <xf numFmtId="0" fontId="52" fillId="33" borderId="0" xfId="0" applyFont="1" applyFill="1" applyAlignment="1">
      <alignment/>
    </xf>
    <xf numFmtId="0" fontId="35" fillId="33" borderId="0" xfId="0" applyFont="1" applyFill="1" applyBorder="1" applyAlignment="1" applyProtection="1">
      <alignment/>
      <protection hidden="1"/>
    </xf>
    <xf numFmtId="0" fontId="53" fillId="33" borderId="0" xfId="0" applyFont="1" applyFill="1" applyBorder="1" applyAlignment="1">
      <alignment/>
    </xf>
    <xf numFmtId="0" fontId="35" fillId="33" borderId="0" xfId="0" applyFont="1" applyFill="1" applyBorder="1" applyAlignment="1">
      <alignment/>
    </xf>
    <xf numFmtId="0" fontId="35" fillId="35" borderId="0" xfId="0" applyFont="1" applyFill="1" applyBorder="1" applyAlignment="1" applyProtection="1">
      <alignment/>
      <protection hidden="1"/>
    </xf>
    <xf numFmtId="3" fontId="35" fillId="33" borderId="0" xfId="0" applyNumberFormat="1" applyFont="1" applyFill="1" applyBorder="1" applyAlignment="1" applyProtection="1">
      <alignment/>
      <protection hidden="1"/>
    </xf>
    <xf numFmtId="9" fontId="35" fillId="33" borderId="0" xfId="0" applyNumberFormat="1" applyFont="1" applyFill="1" applyBorder="1" applyAlignment="1" applyProtection="1">
      <alignment/>
      <protection hidden="1"/>
    </xf>
    <xf numFmtId="3" fontId="35" fillId="33" borderId="0" xfId="0" applyNumberFormat="1" applyFont="1" applyFill="1" applyBorder="1" applyAlignment="1" applyProtection="1">
      <alignment horizontal="center"/>
      <protection hidden="1"/>
    </xf>
    <xf numFmtId="0" fontId="35" fillId="33" borderId="0" xfId="0" applyFont="1" applyFill="1" applyBorder="1" applyAlignment="1">
      <alignment/>
    </xf>
    <xf numFmtId="0" fontId="35" fillId="35" borderId="0" xfId="0" applyFont="1" applyFill="1" applyBorder="1" applyAlignment="1">
      <alignment/>
    </xf>
    <xf numFmtId="0" fontId="35" fillId="33" borderId="0" xfId="0" applyFont="1" applyFill="1" applyBorder="1" applyAlignment="1" applyProtection="1">
      <alignment horizontal="right"/>
      <protection hidden="1"/>
    </xf>
    <xf numFmtId="14" fontId="35" fillId="33" borderId="0" xfId="0" applyNumberFormat="1" applyFont="1" applyFill="1" applyBorder="1" applyAlignment="1" applyProtection="1">
      <alignment/>
      <protection hidden="1"/>
    </xf>
    <xf numFmtId="175" fontId="41" fillId="33" borderId="0" xfId="0" applyNumberFormat="1" applyFont="1" applyFill="1" applyBorder="1" applyAlignment="1" applyProtection="1">
      <alignment/>
      <protection hidden="1"/>
    </xf>
    <xf numFmtId="0" fontId="35" fillId="33" borderId="0" xfId="0" applyFont="1" applyFill="1" applyBorder="1" applyAlignment="1" applyProtection="1">
      <alignment horizontal="center"/>
      <protection hidden="1"/>
    </xf>
    <xf numFmtId="0" fontId="35" fillId="33" borderId="0" xfId="0" applyFont="1" applyFill="1" applyBorder="1" applyAlignment="1" applyProtection="1">
      <alignment horizontal="left"/>
      <protection hidden="1"/>
    </xf>
    <xf numFmtId="3" fontId="54" fillId="33" borderId="0" xfId="0" applyNumberFormat="1" applyFont="1" applyFill="1" applyBorder="1" applyAlignment="1" applyProtection="1">
      <alignment horizontal="center"/>
      <protection hidden="1"/>
    </xf>
    <xf numFmtId="0" fontId="35" fillId="35" borderId="0" xfId="0" applyFont="1" applyFill="1" applyBorder="1" applyAlignment="1" applyProtection="1">
      <alignment horizontal="left"/>
      <protection hidden="1"/>
    </xf>
    <xf numFmtId="3" fontId="54" fillId="35" borderId="0" xfId="0" applyNumberFormat="1" applyFont="1" applyFill="1" applyBorder="1" applyAlignment="1" applyProtection="1">
      <alignment horizontal="center"/>
      <protection hidden="1"/>
    </xf>
    <xf numFmtId="3" fontId="35" fillId="35" borderId="0" xfId="0" applyNumberFormat="1" applyFont="1" applyFill="1" applyBorder="1" applyAlignment="1" applyProtection="1">
      <alignment horizontal="center"/>
      <protection hidden="1"/>
    </xf>
    <xf numFmtId="3" fontId="54" fillId="35" borderId="0" xfId="0" applyNumberFormat="1" applyFont="1" applyFill="1" applyBorder="1" applyAlignment="1">
      <alignment horizontal="center"/>
    </xf>
    <xf numFmtId="0" fontId="35" fillId="33" borderId="0" xfId="0" applyFont="1" applyFill="1" applyAlignment="1" applyProtection="1">
      <alignment/>
      <protection hidden="1"/>
    </xf>
    <xf numFmtId="0" fontId="35" fillId="35" borderId="0" xfId="0" applyFont="1" applyFill="1" applyAlignment="1" applyProtection="1">
      <alignment/>
      <protection hidden="1"/>
    </xf>
    <xf numFmtId="9" fontId="35" fillId="35" borderId="0" xfId="0" applyNumberFormat="1" applyFont="1" applyFill="1" applyBorder="1" applyAlignment="1" applyProtection="1">
      <alignment/>
      <protection hidden="1"/>
    </xf>
    <xf numFmtId="0" fontId="10" fillId="33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3" borderId="0" xfId="0" applyFont="1" applyFill="1" applyAlignment="1">
      <alignment vertical="center" wrapText="1"/>
    </xf>
    <xf numFmtId="0" fontId="10" fillId="33" borderId="0" xfId="0" applyFont="1" applyFill="1" applyAlignment="1">
      <alignment vertical="center" wrapText="1"/>
    </xf>
    <xf numFmtId="0" fontId="10" fillId="33" borderId="0" xfId="0" applyFont="1" applyFill="1" applyAlignment="1">
      <alignment vertical="center"/>
    </xf>
    <xf numFmtId="0" fontId="34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4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5" fontId="0" fillId="33" borderId="0" xfId="0" applyNumberFormat="1" applyFill="1" applyAlignment="1">
      <alignment vertical="center" wrapText="1"/>
    </xf>
    <xf numFmtId="175" fontId="0" fillId="33" borderId="0" xfId="0" applyNumberFormat="1" applyFont="1" applyFill="1" applyAlignment="1">
      <alignment vertical="center" wrapText="1"/>
    </xf>
    <xf numFmtId="0" fontId="3" fillId="33" borderId="18" xfId="0" applyFont="1" applyFill="1" applyBorder="1" applyAlignment="1">
      <alignment/>
    </xf>
    <xf numFmtId="0" fontId="0" fillId="33" borderId="11" xfId="0" applyFill="1" applyBorder="1" applyAlignment="1">
      <alignment/>
    </xf>
    <xf numFmtId="0" fontId="7" fillId="33" borderId="13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left" wrapText="1"/>
    </xf>
    <xf numFmtId="0" fontId="9" fillId="33" borderId="19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 wrapText="1"/>
    </xf>
    <xf numFmtId="0" fontId="0" fillId="33" borderId="0" xfId="0" applyFont="1" applyFill="1" applyAlignment="1">
      <alignment vertical="center" wrapText="1"/>
    </xf>
    <xf numFmtId="0" fontId="51" fillId="33" borderId="0" xfId="0" applyFont="1" applyFill="1" applyAlignment="1">
      <alignment vertical="center" wrapText="1"/>
    </xf>
    <xf numFmtId="0" fontId="51" fillId="0" borderId="0" xfId="0" applyFont="1" applyAlignment="1">
      <alignment vertical="center" wrapText="1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dxfs count="9">
    <dxf>
      <font>
        <color rgb="FFFF0000"/>
      </font>
    </dxf>
    <dxf>
      <font>
        <color theme="0"/>
      </font>
    </dxf>
    <dxf>
      <font>
        <name val="Cambria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17375"/>
          <c:w val="0.95225"/>
          <c:h val="0.495"/>
        </c:manualLayout>
      </c:layout>
      <c:scatterChart>
        <c:scatterStyle val="lineMarker"/>
        <c:varyColors val="0"/>
        <c:ser>
          <c:idx val="2"/>
          <c:order val="0"/>
          <c:tx>
            <c:strRef>
              <c:f>'Tjek din løn'!$O$179</c:f>
              <c:strCache>
                <c:ptCount val="1"/>
                <c:pt idx="0">
                  <c:v>10%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'Tjek din løn'!$P$179:$Q$179</c:f>
              <c:numCache/>
            </c:numRef>
          </c:xVal>
          <c:yVal>
            <c:numRef>
              <c:f>'Tjek din løn'!$P$182:$Q$182</c:f>
              <c:numCache/>
            </c:numRef>
          </c:yVal>
          <c:smooth val="0"/>
        </c:ser>
        <c:ser>
          <c:idx val="3"/>
          <c:order val="1"/>
          <c:tx>
            <c:strRef>
              <c:f>'Tjek din løn'!$O$180</c:f>
              <c:strCache>
                <c:ptCount val="1"/>
                <c:pt idx="0">
                  <c:v>50%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'Tjek din løn'!$P$180:$Q$180</c:f>
              <c:numCache/>
            </c:numRef>
          </c:xVal>
          <c:yVal>
            <c:numRef>
              <c:f>'Tjek din løn'!$P$182:$Q$182</c:f>
              <c:numCache/>
            </c:numRef>
          </c:yVal>
          <c:smooth val="0"/>
        </c:ser>
        <c:ser>
          <c:idx val="4"/>
          <c:order val="2"/>
          <c:tx>
            <c:strRef>
              <c:f>'Tjek din løn'!$O$181</c:f>
              <c:strCache>
                <c:ptCount val="1"/>
                <c:pt idx="0">
                  <c:v>90%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'Tjek din løn'!$P$181:$Q$181</c:f>
              <c:numCache/>
            </c:numRef>
          </c:xVal>
          <c:yVal>
            <c:numRef>
              <c:f>'Tjek din løn'!$P$182:$Q$182</c:f>
              <c:numCache/>
            </c:numRef>
          </c:yVal>
          <c:smooth val="0"/>
        </c:ser>
        <c:ser>
          <c:idx val="1"/>
          <c:order val="3"/>
          <c:tx>
            <c:strRef>
              <c:f>'Tjek din løn'!$O$178</c:f>
              <c:strCache>
                <c:ptCount val="1"/>
                <c:pt idx="0">
                  <c:v> Din løn     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'Tjek din løn'!$P$178:$Q$178</c:f>
              <c:numCache/>
            </c:numRef>
          </c:xVal>
          <c:yVal>
            <c:numRef>
              <c:f>'Tjek din løn'!$P$183:$Q$183</c:f>
              <c:numCache/>
            </c:numRef>
          </c:yVal>
          <c:smooth val="0"/>
        </c:ser>
        <c:ser>
          <c:idx val="0"/>
          <c:order val="4"/>
          <c:tx>
            <c:strRef>
              <c:f>'Tjek din løn'!$O$184</c:f>
              <c:strCache>
                <c:ptCount val="1"/>
                <c:pt idx="0">
                  <c:v>  min. - max.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'Tjek din løn'!$P$184:$Q$184</c:f>
              <c:numCache/>
            </c:numRef>
          </c:xVal>
          <c:yVal>
            <c:numRef>
              <c:f>'Tjek din løn'!$P$185:$Q$185</c:f>
              <c:numCache/>
            </c:numRef>
          </c:yVal>
          <c:smooth val="0"/>
        </c:ser>
        <c:axId val="12108588"/>
        <c:axId val="41868429"/>
      </c:scatterChart>
      <c:valAx>
        <c:axId val="12108588"/>
        <c:scaling>
          <c:orientation val="minMax"/>
          <c:max val="50000"/>
          <c:min val="25000"/>
        </c:scaling>
        <c:axPos val="b"/>
        <c:delete val="0"/>
        <c:numFmt formatCode="#,##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868429"/>
        <c:crosses val="autoZero"/>
        <c:crossBetween val="midCat"/>
        <c:dispUnits/>
        <c:majorUnit val="4000"/>
        <c:minorUnit val="1000"/>
      </c:valAx>
      <c:valAx>
        <c:axId val="41868429"/>
        <c:scaling>
          <c:orientation val="minMax"/>
          <c:min val="0.9400000000000006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FFFFFF"/>
                </a:solidFill>
              </a:defRPr>
            </a:pPr>
          </a:p>
        </c:txPr>
        <c:crossAx val="12108588"/>
        <c:crosses val="autoZero"/>
        <c:crossBetween val="midCat"/>
        <c:dispUnits/>
        <c:majorUnit val="0.02000000000000001"/>
      </c:valAx>
      <c:spPr>
        <a:solidFill>
          <a:srgbClr val="D9D9D9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3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3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3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3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63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2525"/>
          <c:y val="0.71375"/>
          <c:w val="0.7215"/>
          <c:h val="0.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1745"/>
          <c:w val="0.9435"/>
          <c:h val="0.496"/>
        </c:manualLayout>
      </c:layout>
      <c:scatterChart>
        <c:scatterStyle val="lineMarker"/>
        <c:varyColors val="0"/>
        <c:ser>
          <c:idx val="2"/>
          <c:order val="0"/>
          <c:tx>
            <c:strRef>
              <c:f>'Tjek din løn'!$O$102</c:f>
              <c:strCache>
                <c:ptCount val="1"/>
                <c:pt idx="0">
                  <c:v>10%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'Tjek din løn'!$P$102:$Q$102</c:f>
              <c:numCache/>
            </c:numRef>
          </c:xVal>
          <c:yVal>
            <c:numRef>
              <c:f>'Tjek din løn'!$P$105:$Q$105</c:f>
              <c:numCache/>
            </c:numRef>
          </c:yVal>
          <c:smooth val="0"/>
        </c:ser>
        <c:ser>
          <c:idx val="3"/>
          <c:order val="1"/>
          <c:tx>
            <c:strRef>
              <c:f>'Tjek din løn'!$O$103</c:f>
              <c:strCache>
                <c:ptCount val="1"/>
                <c:pt idx="0">
                  <c:v>50%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'Tjek din løn'!$P$103:$Q$103</c:f>
              <c:numCache/>
            </c:numRef>
          </c:xVal>
          <c:yVal>
            <c:numRef>
              <c:f>'Tjek din løn'!$P$105:$Q$105</c:f>
              <c:numCache/>
            </c:numRef>
          </c:yVal>
          <c:smooth val="0"/>
        </c:ser>
        <c:ser>
          <c:idx val="4"/>
          <c:order val="2"/>
          <c:tx>
            <c:strRef>
              <c:f>'Tjek din løn'!$O$104</c:f>
              <c:strCache>
                <c:ptCount val="1"/>
                <c:pt idx="0">
                  <c:v>90%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'Tjek din løn'!$P$104:$Q$104</c:f>
              <c:numCache/>
            </c:numRef>
          </c:xVal>
          <c:yVal>
            <c:numRef>
              <c:f>'Tjek din løn'!$P$105:$Q$105</c:f>
              <c:numCache/>
            </c:numRef>
          </c:yVal>
          <c:smooth val="0"/>
        </c:ser>
        <c:ser>
          <c:idx val="1"/>
          <c:order val="3"/>
          <c:tx>
            <c:strRef>
              <c:f>'Tjek din løn'!$O$101</c:f>
              <c:strCache>
                <c:ptCount val="1"/>
                <c:pt idx="0">
                  <c:v> Din løn     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'Tjek din løn'!$P$101:$Q$101</c:f>
              <c:numCache/>
            </c:numRef>
          </c:xVal>
          <c:yVal>
            <c:numRef>
              <c:f>'Tjek din løn'!$P$106:$Q$106</c:f>
              <c:numCache/>
            </c:numRef>
          </c:yVal>
          <c:smooth val="0"/>
        </c:ser>
        <c:ser>
          <c:idx val="0"/>
          <c:order val="4"/>
          <c:tx>
            <c:strRef>
              <c:f>'Tjek din løn'!$O$107</c:f>
              <c:strCache>
                <c:ptCount val="1"/>
                <c:pt idx="0">
                  <c:v>  min. - max.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'Tjek din løn'!$P$107:$Q$107</c:f>
              <c:numCache/>
            </c:numRef>
          </c:xVal>
          <c:yVal>
            <c:numRef>
              <c:f>'Tjek din løn'!$P$108:$Q$108</c:f>
              <c:numCache/>
            </c:numRef>
          </c:yVal>
          <c:smooth val="0"/>
        </c:ser>
        <c:axId val="41271542"/>
        <c:axId val="35899559"/>
      </c:scatterChart>
      <c:valAx>
        <c:axId val="41271542"/>
        <c:scaling>
          <c:orientation val="minMax"/>
          <c:max val="50000"/>
          <c:min val="25000"/>
        </c:scaling>
        <c:axPos val="b"/>
        <c:delete val="0"/>
        <c:numFmt formatCode="#,##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899559"/>
        <c:crosses val="autoZero"/>
        <c:crossBetween val="midCat"/>
        <c:dispUnits/>
        <c:majorUnit val="4000"/>
        <c:minorUnit val="1000"/>
      </c:valAx>
      <c:valAx>
        <c:axId val="35899559"/>
        <c:scaling>
          <c:orientation val="minMax"/>
          <c:min val="0.9400000000000006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FFFFFF"/>
                </a:solidFill>
              </a:defRPr>
            </a:pPr>
          </a:p>
        </c:txPr>
        <c:crossAx val="41271542"/>
        <c:crosses val="autoZero"/>
        <c:crossBetween val="midCat"/>
        <c:dispUnits/>
        <c:majorUnit val="0.02000000000000001"/>
      </c:valAx>
      <c:spPr>
        <a:solidFill>
          <a:srgbClr val="D9D9D9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3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3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3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3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63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2475"/>
          <c:y val="0.72275"/>
          <c:w val="0.729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28</xdr:row>
      <xdr:rowOff>38100</xdr:rowOff>
    </xdr:from>
    <xdr:to>
      <xdr:col>12</xdr:col>
      <xdr:colOff>266700</xdr:colOff>
      <xdr:row>41</xdr:row>
      <xdr:rowOff>28575</xdr:rowOff>
    </xdr:to>
    <xdr:graphicFrame macro="[0]!setminmax">
      <xdr:nvGraphicFramePr>
        <xdr:cNvPr id="1" name="Chart 10"/>
        <xdr:cNvGraphicFramePr/>
      </xdr:nvGraphicFramePr>
      <xdr:xfrm>
        <a:off x="4591050" y="6477000"/>
        <a:ext cx="41910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28</xdr:row>
      <xdr:rowOff>28575</xdr:rowOff>
    </xdr:from>
    <xdr:to>
      <xdr:col>5</xdr:col>
      <xdr:colOff>514350</xdr:colOff>
      <xdr:row>41</xdr:row>
      <xdr:rowOff>28575</xdr:rowOff>
    </xdr:to>
    <xdr:graphicFrame macro="[0]!setminmax">
      <xdr:nvGraphicFramePr>
        <xdr:cNvPr id="2" name="Chart 1"/>
        <xdr:cNvGraphicFramePr/>
      </xdr:nvGraphicFramePr>
      <xdr:xfrm>
        <a:off x="19050" y="6467475"/>
        <a:ext cx="45148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Forløb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61"/>
  <sheetViews>
    <sheetView tabSelected="1" zoomScalePageLayoutView="0" workbookViewId="0" topLeftCell="A1">
      <selection activeCell="A55" sqref="A55"/>
    </sheetView>
  </sheetViews>
  <sheetFormatPr defaultColWidth="9.140625" defaultRowHeight="15"/>
  <cols>
    <col min="1" max="1" width="12.421875" style="0" customWidth="1"/>
    <col min="2" max="2" width="12.57421875" style="0" bestFit="1" customWidth="1"/>
    <col min="4" max="4" width="12.00390625" style="0" bestFit="1" customWidth="1"/>
    <col min="5" max="5" width="14.140625" style="0" customWidth="1"/>
    <col min="6" max="6" width="8.28125" style="0" customWidth="1"/>
    <col min="7" max="7" width="12.7109375" style="0" bestFit="1" customWidth="1"/>
    <col min="8" max="12" width="9.28125" style="0" bestFit="1" customWidth="1"/>
    <col min="15" max="17" width="9.28125" style="0" bestFit="1" customWidth="1"/>
    <col min="18" max="19" width="9.140625" style="15" customWidth="1"/>
    <col min="20" max="20" width="12.421875" style="0" bestFit="1" customWidth="1"/>
    <col min="21" max="30" width="9.140625" style="36" customWidth="1"/>
    <col min="31" max="31" width="12.57421875" style="36" bestFit="1" customWidth="1"/>
    <col min="32" max="33" width="9.140625" style="36" customWidth="1"/>
  </cols>
  <sheetData>
    <row r="1" spans="1:20" ht="0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4"/>
      <c r="S1" s="14"/>
      <c r="T1" s="2"/>
    </row>
    <row r="2" spans="1:20" ht="18" customHeight="1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4"/>
      <c r="S2" s="14"/>
      <c r="T2" s="2"/>
    </row>
    <row r="3" spans="1:20" ht="18" customHeight="1">
      <c r="A3" s="43" t="s">
        <v>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4"/>
      <c r="S3" s="14"/>
      <c r="T3" s="2"/>
    </row>
    <row r="4" spans="1:20" ht="12.75" customHeight="1">
      <c r="A4" s="28" t="s">
        <v>23</v>
      </c>
      <c r="B4" s="28"/>
      <c r="C4" s="28"/>
      <c r="D4" s="28"/>
      <c r="E4" s="28"/>
      <c r="F4" s="2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4"/>
      <c r="S4" s="14"/>
      <c r="T4" s="2"/>
    </row>
    <row r="5" spans="1:33" s="2" customFormat="1" ht="15">
      <c r="A5" s="28" t="s">
        <v>20</v>
      </c>
      <c r="B5" s="28"/>
      <c r="C5" s="28"/>
      <c r="D5" s="28"/>
      <c r="E5" s="28"/>
      <c r="F5" s="28"/>
      <c r="R5" s="14"/>
      <c r="S5" s="14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</row>
    <row r="6" spans="1:33" s="2" customFormat="1" ht="15">
      <c r="A6" s="2" t="s">
        <v>30</v>
      </c>
      <c r="B6" s="28"/>
      <c r="C6" s="28"/>
      <c r="D6" s="28"/>
      <c r="E6" s="28"/>
      <c r="F6" s="28"/>
      <c r="R6" s="14"/>
      <c r="S6" s="14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33" s="2" customFormat="1" ht="15">
      <c r="A7" s="2" t="s">
        <v>32</v>
      </c>
      <c r="B7" s="28"/>
      <c r="C7" s="28"/>
      <c r="D7" s="28"/>
      <c r="E7" s="28"/>
      <c r="F7" s="28"/>
      <c r="R7" s="14"/>
      <c r="S7" s="14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</row>
    <row r="8" spans="1:33" s="2" customFormat="1" ht="15.75" customHeight="1">
      <c r="A8" s="28" t="s">
        <v>24</v>
      </c>
      <c r="B8" s="28"/>
      <c r="C8" s="28"/>
      <c r="D8" s="28"/>
      <c r="E8" s="28"/>
      <c r="F8" s="28"/>
      <c r="R8" s="14"/>
      <c r="S8" s="14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</row>
    <row r="9" spans="1:33" s="2" customFormat="1" ht="15">
      <c r="A9" s="14" t="s">
        <v>21</v>
      </c>
      <c r="B9" s="28"/>
      <c r="C9" s="28"/>
      <c r="D9" s="28"/>
      <c r="E9" s="28"/>
      <c r="F9" s="28"/>
      <c r="R9" s="14"/>
      <c r="S9" s="14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</row>
    <row r="10" spans="1:20" ht="12.75" customHeight="1">
      <c r="A10" s="3"/>
      <c r="B10" s="28"/>
      <c r="C10" s="28"/>
      <c r="D10" s="28"/>
      <c r="E10" s="28"/>
      <c r="F10" s="28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4"/>
      <c r="S10" s="14"/>
      <c r="T10" s="2"/>
    </row>
    <row r="11" spans="1:20" ht="12.75" customHeight="1">
      <c r="A11" s="3" t="s">
        <v>22</v>
      </c>
      <c r="B11" s="28"/>
      <c r="C11" s="28"/>
      <c r="D11" s="28"/>
      <c r="E11" s="28"/>
      <c r="F11" s="28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4"/>
      <c r="S11" s="14"/>
      <c r="T11" s="2"/>
    </row>
    <row r="12" spans="1:20" ht="22.5" customHeight="1">
      <c r="A12" s="81" t="s">
        <v>35</v>
      </c>
      <c r="B12" s="81"/>
      <c r="C12" s="81"/>
      <c r="D12" s="81"/>
      <c r="E12" s="28"/>
      <c r="F12" s="38" t="s">
        <v>33</v>
      </c>
      <c r="G12" s="42" t="s">
        <v>38</v>
      </c>
      <c r="H12" s="82">
        <f>IF(OR(AND(G13="x",G12=""),AND(G12="x",G13="")),"","Sæt et og kun et x")</f>
      </c>
      <c r="I12" s="83"/>
      <c r="J12" s="83"/>
      <c r="K12" s="83"/>
      <c r="L12" s="83"/>
      <c r="M12" s="83"/>
      <c r="N12" s="83"/>
      <c r="O12" s="2"/>
      <c r="P12" s="2"/>
      <c r="Q12" s="2"/>
      <c r="R12" s="14"/>
      <c r="S12" s="14"/>
      <c r="T12" s="2"/>
    </row>
    <row r="13" spans="1:20" ht="20.25" customHeight="1">
      <c r="A13" s="41" t="s">
        <v>36</v>
      </c>
      <c r="B13" s="40"/>
      <c r="C13" s="40"/>
      <c r="D13" s="40"/>
      <c r="E13" s="35"/>
      <c r="F13" s="39" t="s">
        <v>34</v>
      </c>
      <c r="G13" s="42"/>
      <c r="H13" s="82"/>
      <c r="I13" s="83"/>
      <c r="J13" s="83"/>
      <c r="K13" s="83"/>
      <c r="L13" s="83"/>
      <c r="M13" s="83"/>
      <c r="N13" s="83"/>
      <c r="O13" s="2"/>
      <c r="P13" s="2"/>
      <c r="Q13" s="2"/>
      <c r="R13" s="14"/>
      <c r="S13" s="14"/>
      <c r="T13" s="2"/>
    </row>
    <row r="14" spans="1:20" ht="30.75" customHeight="1">
      <c r="A14" s="68" t="s">
        <v>31</v>
      </c>
      <c r="B14" s="69"/>
      <c r="C14" s="69"/>
      <c r="D14" s="69"/>
      <c r="E14" s="69"/>
      <c r="F14" s="70"/>
      <c r="G14" s="9"/>
      <c r="H14" s="11" t="s">
        <v>14</v>
      </c>
      <c r="I14" s="84"/>
      <c r="J14" s="84"/>
      <c r="K14" s="84"/>
      <c r="L14" s="84"/>
      <c r="M14" s="84"/>
      <c r="N14" s="84"/>
      <c r="O14" s="2"/>
      <c r="P14" s="2"/>
      <c r="Q14" s="2"/>
      <c r="R14" s="14"/>
      <c r="S14" s="14"/>
      <c r="T14" s="2"/>
    </row>
    <row r="15" spans="1:20" ht="22.5" customHeight="1">
      <c r="A15" s="29" t="s">
        <v>15</v>
      </c>
      <c r="B15" s="29"/>
      <c r="C15" s="29"/>
      <c r="D15" s="29"/>
      <c r="E15" s="29"/>
      <c r="F15" s="29"/>
      <c r="G15" s="9"/>
      <c r="H15" s="11" t="s">
        <v>14</v>
      </c>
      <c r="I15" s="2"/>
      <c r="J15" s="2"/>
      <c r="K15" s="2"/>
      <c r="L15" s="2"/>
      <c r="M15" s="2"/>
      <c r="N15" s="2"/>
      <c r="O15" s="2"/>
      <c r="P15" s="2"/>
      <c r="Q15" s="2"/>
      <c r="R15" s="14"/>
      <c r="S15" s="14"/>
      <c r="T15" s="2"/>
    </row>
    <row r="16" spans="1:20" ht="28.5" customHeight="1">
      <c r="A16" s="75" t="str">
        <f>"Hvad er din faste månedlige løn (ekskl. pension og før skat), se sidste lønseddel, dog senest fra "&amp;TEXT(B54,"DD-MM-ÅÅ")</f>
        <v>Hvad er din faste månedlige løn (ekskl. pension og før skat), se sidste lønseddel, dog senest fra 30-09-19</v>
      </c>
      <c r="B16" s="76"/>
      <c r="C16" s="76"/>
      <c r="D16" s="76"/>
      <c r="E16" s="76"/>
      <c r="F16" s="29"/>
      <c r="G16" s="10"/>
      <c r="H16" s="11" t="s">
        <v>16</v>
      </c>
      <c r="I16" s="2"/>
      <c r="J16" s="13" t="s">
        <v>25</v>
      </c>
      <c r="K16" s="2"/>
      <c r="L16" s="2"/>
      <c r="M16" s="2"/>
      <c r="N16" s="2"/>
      <c r="O16" s="2"/>
      <c r="P16" s="2"/>
      <c r="Q16" s="2"/>
      <c r="R16" s="14"/>
      <c r="S16" s="14"/>
      <c r="T16" s="2"/>
    </row>
    <row r="17" spans="1:20" ht="30.75" customHeight="1">
      <c r="A17" s="85" t="s">
        <v>17</v>
      </c>
      <c r="B17" s="85"/>
      <c r="C17" s="85"/>
      <c r="D17" s="85"/>
      <c r="E17" s="85"/>
      <c r="F17" s="85"/>
      <c r="G17" s="9">
        <v>1</v>
      </c>
      <c r="H17" s="2"/>
      <c r="I17" s="4" t="s">
        <v>19</v>
      </c>
      <c r="J17" s="2"/>
      <c r="K17" s="2"/>
      <c r="L17" s="2"/>
      <c r="M17" s="2"/>
      <c r="N17" s="2"/>
      <c r="O17" s="2"/>
      <c r="P17" s="2"/>
      <c r="Q17" s="2"/>
      <c r="R17" s="14"/>
      <c r="S17" s="14"/>
      <c r="T17" s="2"/>
    </row>
    <row r="18" spans="1:20" ht="50.25" customHeight="1">
      <c r="A18" s="86"/>
      <c r="B18" s="87"/>
      <c r="C18" s="87"/>
      <c r="D18" s="87"/>
      <c r="E18" s="87"/>
      <c r="F18" s="28"/>
      <c r="G18" s="31" t="s">
        <v>26</v>
      </c>
      <c r="H18" s="2"/>
      <c r="I18" s="2"/>
      <c r="K18" s="2"/>
      <c r="L18" s="2"/>
      <c r="M18" s="2"/>
      <c r="N18" s="2"/>
      <c r="O18" s="2"/>
      <c r="P18" s="2"/>
      <c r="Q18" s="2"/>
      <c r="R18" s="14"/>
      <c r="S18" s="14"/>
      <c r="T18" s="2"/>
    </row>
    <row r="19" spans="1:20" ht="12.75" customHeight="1" thickBot="1">
      <c r="A19" s="2"/>
      <c r="B19" s="2"/>
      <c r="C19" s="2"/>
      <c r="D19" s="2"/>
      <c r="E19" s="2"/>
      <c r="F19" s="2"/>
      <c r="G19" s="2"/>
      <c r="H19" s="2"/>
      <c r="I19" s="2"/>
      <c r="J19" s="12"/>
      <c r="K19" s="2"/>
      <c r="L19" s="2"/>
      <c r="M19" s="2"/>
      <c r="N19" s="2"/>
      <c r="O19" s="2"/>
      <c r="P19" s="2"/>
      <c r="Q19" s="2"/>
      <c r="R19" s="14"/>
      <c r="S19" s="14"/>
      <c r="T19" s="2"/>
    </row>
    <row r="20" spans="1:20" ht="18" customHeight="1">
      <c r="A20" s="77" t="str">
        <f>IF(G13="x","Hvordan er min løn i forhold til andre lærere på STX/HF?",IF(G12="x","Hvordan er min løn i forhold til andre lærere på HHX/HTX?",""))</f>
        <v>Hvordan er min løn i forhold til andre lærere på HHX/HTX?</v>
      </c>
      <c r="B20" s="78"/>
      <c r="C20" s="78"/>
      <c r="D20" s="78"/>
      <c r="E20" s="78"/>
      <c r="F20" s="78"/>
      <c r="G20" s="78"/>
      <c r="H20" s="16"/>
      <c r="I20" s="16"/>
      <c r="J20" s="17"/>
      <c r="K20" s="16"/>
      <c r="L20" s="16"/>
      <c r="M20" s="18"/>
      <c r="N20" s="2"/>
      <c r="O20" s="2"/>
      <c r="P20" s="2"/>
      <c r="Q20" s="2"/>
      <c r="R20" s="14"/>
      <c r="S20" s="14"/>
      <c r="T20" s="2"/>
    </row>
    <row r="21" spans="1:20" ht="12.75" customHeight="1">
      <c r="A21" s="19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20"/>
      <c r="N21" s="2"/>
      <c r="O21" s="2"/>
      <c r="P21" s="2"/>
      <c r="Q21" s="2"/>
      <c r="R21" s="14"/>
      <c r="S21" s="14"/>
      <c r="T21" s="2"/>
    </row>
    <row r="22" spans="1:20" ht="15.75" customHeight="1">
      <c r="A22" s="79" t="str">
        <f>"Du har oplyst en anciennitet på "&amp;G14&amp;" år, en alder på "&amp;G15&amp;" år, samt en fuldtidsløn på "&amp;M50&amp;" kr. pr. måned"</f>
        <v>Du har oplyst en anciennitet på  år, en alder på  år, samt en fuldtidsløn på 0 kr. pr. måned</v>
      </c>
      <c r="B22" s="80"/>
      <c r="C22" s="80"/>
      <c r="D22" s="80"/>
      <c r="E22" s="80"/>
      <c r="F22" s="80"/>
      <c r="G22" s="80"/>
      <c r="H22" s="80"/>
      <c r="I22" s="80"/>
      <c r="J22" s="5"/>
      <c r="K22" s="5"/>
      <c r="L22" s="5"/>
      <c r="M22" s="20"/>
      <c r="N22" s="2"/>
      <c r="O22" s="2"/>
      <c r="P22" s="2"/>
      <c r="Q22" s="2"/>
      <c r="R22" s="14"/>
      <c r="S22" s="14"/>
      <c r="T22" s="2"/>
    </row>
    <row r="23" spans="1:20" ht="15.75" customHeight="1">
      <c r="A23" s="32" t="str">
        <f>IF(M51="STX",IF(AND($M$48&gt;=0,$M$50&gt;'Tjek din løn'!D160),IF($M$50&gt;'Tjek din løn'!L102,"Du er blandt de 10% højst lønnede af alle STX/hf-lærere","Blandt alle STX/hf-lærere tjener ca. "&amp;ROUND(100*'Tjek din løn'!$G$57,0)&amp;"% mindre end dig og ca. "&amp;ROUND(100*(1-'Tjek din løn'!$G$57),0)&amp;"% tjener mere"),"Du er blandt de 10% dårligst lønnede af alle STX/hf-lærere"),IF(M51="HHTX",IF(AND($M$48&gt;=0,$M$50&gt;'Tjek din løn'!V160),IF($M$50&gt;'Tjek din løn'!AD102,"Du er blandt de 10% højst lønnede af alle HHX/HTX-lærere","Blandt alle HHX/HTX-lærere tjener ca. "&amp;ROUND(100*'Tjek din løn'!$Y$57,0)&amp;"% mindre end dig og ca. "&amp;ROUND(100*(1-'Tjek din løn'!$Y$57),0)&amp;"% tjener mere"),"Du er blandt de 10% dårligst lønnede af alle HHX/HTX-lærere"),""))</f>
        <v>Du er blandt de 10% dårligst lønnede af alle HHX/HTX-lærere</v>
      </c>
      <c r="B23" s="6"/>
      <c r="C23" s="6"/>
      <c r="D23" s="6"/>
      <c r="E23" s="6"/>
      <c r="F23" s="7"/>
      <c r="G23" s="5"/>
      <c r="H23" s="5"/>
      <c r="I23" s="8"/>
      <c r="J23" s="5"/>
      <c r="K23" s="5"/>
      <c r="L23" s="5"/>
      <c r="M23" s="20"/>
      <c r="N23" s="2"/>
      <c r="O23" s="2"/>
      <c r="P23" s="2"/>
      <c r="Q23" s="2"/>
      <c r="R23" s="14"/>
      <c r="S23" s="14"/>
      <c r="T23" s="2"/>
    </row>
    <row r="24" spans="1:20" ht="15.75" customHeight="1">
      <c r="A24" s="32">
        <f>IF(G14="","",IF(M51="STX",IF(M50&lt;'Tjek din løn'!D57,"Du ligger "&amp;ROUND(100*('Tjek din løn'!D57-M50)/'Tjek din løn'!D57,1)&amp;"% (ca. "&amp;ROUND('Tjek din løn'!D57-M50,-2)&amp;" kr.) under gennemsnittet for ansatte med din anciennitet","Du ligger "&amp;ROUND(100*(M50-'Tjek din løn'!D57)/'Tjek din løn'!D57,1)&amp;"% (ca. "&amp;ROUND(M50-'Tjek din løn'!D57,-2)&amp;" kr.) over gennemsnittet for ansatte med din anciennitet"),IF(M51="HHTX",IF(M50&lt;'Tjek din løn'!V57,"Du ligger "&amp;ROUND(100*('Tjek din løn'!V57-M50)/'Tjek din løn'!V57,1)&amp;"% (ca. "&amp;ROUND('Tjek din løn'!V57-M50,-2)&amp;" kr.) under gennemsnittet for ansatte med din anciennitet","Du ligger "&amp;ROUND(100*(M50-'Tjek din løn'!V57)/'Tjek din løn'!V57,1)&amp;"% (ca. "&amp;ROUND(M50-'Tjek din løn'!V57,-2)&amp;" kr.) over gennemsnittet for ansatte med din anciennitet"),"")))</f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27"/>
      <c r="O24" s="2"/>
      <c r="P24" s="2"/>
      <c r="Q24" s="2"/>
      <c r="R24" s="14"/>
      <c r="S24" s="14"/>
      <c r="T24" s="2"/>
    </row>
    <row r="25" spans="1:20" ht="15.75" customHeight="1">
      <c r="A25" s="32">
        <f>IF(G15="","",IF(M51="STX",IF(M50&lt;'Tjek din løn'!D116,"Du ligger "&amp;ROUND(100*('Tjek din løn'!D116-M50)/'Tjek din løn'!D116,1)&amp;"% (ca. "&amp;ROUND('Tjek din løn'!D116-M50,-2)&amp;" kr.) under gennemsnittet for ansatte med din alder (+/- 2 år)","Du ligger "&amp;ROUND(100*(M50-'Tjek din løn'!D116)/'Tjek din løn'!D116,1)&amp;"% (ca. "&amp;ROUND(M50-'Tjek din løn'!D116,-2)&amp;" kr.) over gennemsnittet for ansatte med din alder (+/- 2 år)"),IF(M51="HHTX",IF(M50&lt;'Tjek din løn'!V116,"Du ligger "&amp;ROUND(100*('Tjek din løn'!V116-M50)/'Tjek din løn'!V116,1)&amp;"% (ca. "&amp;ROUND('Tjek din løn'!V116-M50,-2)&amp;" kr.) under gennemsnittet for ansatte med din alder (+/- 2 år)","Du ligger "&amp;ROUND(100*(M50-'Tjek din løn'!V116)/'Tjek din løn'!V116,1)&amp;"% (ca. "&amp;ROUND(M50-'Tjek din løn'!V116,-2)&amp;" kr.) over gennemsnittet for ansatte med din alder (+/- 2 år)"),"")))</f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20"/>
      <c r="N25" s="2"/>
      <c r="O25" s="2"/>
      <c r="P25" s="2"/>
      <c r="Q25" s="2"/>
      <c r="R25" s="14"/>
      <c r="S25" s="14"/>
      <c r="T25" s="2"/>
    </row>
    <row r="26" spans="1:20" ht="15.75" customHeight="1">
      <c r="A26" s="32">
        <f>IF(G14="","",IF(M51="STX",IF(AND($M$48&gt;=0,$M$50&gt;'Tjek din løn'!D96),IF($M$50&gt;'Tjek din løn'!L96,"Blandt lærere med samme anciennitet er du blandt de 10% højest aflønnede","Blandt STX/hf-lærere med samme anciennitet tjener ca. "&amp;ROUND(100*'Tjek din løn'!$I$57,0)&amp;"% mindre end dig og ca. "&amp;ROUND(100*(1-'Tjek din løn'!$I$57),0)&amp;"% tjener mere"),"Du er blandt de 10% lavest lønnede STX/hf-lærere med samme anciennitet som dig"),IF(M51="HHTX",IF(AND($M$48&gt;=0,$M$50&gt;'Tjek din løn'!V96),IF($M$50&gt;'Tjek din løn'!AD96,"Blandt HHX/HTX-lærere med samme anciennitet er du blandt de 10% højest aflønnede","Blandt HHX/HTXlærere med samme anciennitet tjener ca. "&amp;ROUND(100*'Tjek din løn'!$AA$57,0)&amp;"% mindre end dig og ca. "&amp;ROUND(100*(1-'Tjek din løn'!$AA$57),0)&amp;"% tjener mere"),"Du er blandt de 10% lavest lønnede HHX/HTX-lærere med samme anciennitet som dig"),"")))</f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20"/>
      <c r="N26" s="2"/>
      <c r="O26" s="2"/>
      <c r="P26" s="2"/>
      <c r="Q26" s="2"/>
      <c r="R26" s="14"/>
      <c r="S26" s="14"/>
      <c r="T26" s="2"/>
    </row>
    <row r="27" spans="1:20" ht="15.75" customHeight="1">
      <c r="A27" s="32">
        <f>IF(G15="","",IF(M51="STX",IF(AND($M$49&gt;=0,$M$50&gt;'Tjek din løn'!D173),IF($M$50&gt;'Tjek din løn'!L173,"Blandt lærere med samme alder (+/- 2 år) er du blandt de 10% højest aflønnede","Blandt STX/hf-lærere med samme alder (+/- 2 år) tjener ca. "&amp;ROUND(100*'Tjek din løn'!$I$116,0)&amp;"% mindre end dig og ca. "&amp;ROUND(100*(1-'Tjek din løn'!$I$116),0)&amp;"% tjener mere"),"Du er blandt de 10% lavest lønnede STX/hf-lærere med samme alder (+/- 2 år) som dig"),IF(M51="HHTX",IF(AND($M$49&gt;=0,$M$50&gt;'Tjek din løn'!V173),IF($M$50&gt;'Tjek din løn'!AD173,"Blandt HHX/HTX-lærere med samme alder (+/- 2 år) er du blandt de 10% højest aflønnede","Blandt HHX/HTXlærere med samme alder (+/- 2 år) tjener ca. "&amp;ROUND(100*'Tjek din løn'!$AA$116,0)&amp;"% mindre end dig og ca. "&amp;ROUND(100*(1-'Tjek din løn'!$AA$116),0)&amp;"% tjener mere"),"Du er blandt de 10% lavest lønnede HHX/HTX-lærere med samme alder (+/- 2 år) som dig"),"")))</f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20"/>
      <c r="N27" s="2"/>
      <c r="O27" s="2"/>
      <c r="P27" s="2"/>
      <c r="Q27" s="2"/>
      <c r="R27" s="14"/>
      <c r="S27" s="14"/>
      <c r="T27" s="2"/>
    </row>
    <row r="28" spans="1:20" ht="12.75" customHeight="1">
      <c r="A28" s="19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20"/>
      <c r="N28" s="2"/>
      <c r="O28" s="2"/>
      <c r="P28" s="2"/>
      <c r="Q28" s="2"/>
      <c r="R28" s="14"/>
      <c r="S28" s="14"/>
      <c r="T28" s="2"/>
    </row>
    <row r="29" spans="1:20" ht="12.75" customHeight="1">
      <c r="A29" s="19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20"/>
      <c r="N29" s="2"/>
      <c r="O29" s="2"/>
      <c r="P29" s="2"/>
      <c r="Q29" s="2"/>
      <c r="R29" s="14"/>
      <c r="S29" s="14"/>
      <c r="T29" s="2"/>
    </row>
    <row r="30" spans="1:33" s="15" customFormat="1" ht="21">
      <c r="A30" s="73">
        <f>A44</f>
      </c>
      <c r="B30" s="74"/>
      <c r="C30" s="74"/>
      <c r="D30" s="74"/>
      <c r="E30" s="74"/>
      <c r="F30" s="74"/>
      <c r="G30" s="21"/>
      <c r="H30" s="71">
        <f>A45</f>
      </c>
      <c r="I30" s="72"/>
      <c r="J30" s="72"/>
      <c r="K30" s="72"/>
      <c r="L30" s="72"/>
      <c r="M30" s="22"/>
      <c r="N30" s="14"/>
      <c r="O30" s="14"/>
      <c r="P30" s="14"/>
      <c r="Q30" s="14"/>
      <c r="R30" s="14"/>
      <c r="S30" s="14"/>
      <c r="T30" s="14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</row>
    <row r="31" spans="1:33" s="15" customFormat="1" ht="15">
      <c r="A31" s="23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2"/>
      <c r="N31" s="14"/>
      <c r="O31" s="14"/>
      <c r="P31" s="14"/>
      <c r="Q31" s="14"/>
      <c r="R31" s="14"/>
      <c r="S31" s="14"/>
      <c r="T31" s="14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</row>
    <row r="32" spans="1:33" s="15" customFormat="1" ht="15">
      <c r="A32" s="23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2"/>
      <c r="N32" s="14"/>
      <c r="O32" s="14"/>
      <c r="P32" s="14"/>
      <c r="Q32" s="14"/>
      <c r="R32" s="14"/>
      <c r="S32" s="14"/>
      <c r="T32" s="14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</row>
    <row r="33" spans="1:33" s="15" customFormat="1" ht="15">
      <c r="A33" s="23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2"/>
      <c r="N33" s="14"/>
      <c r="O33" s="14"/>
      <c r="P33" s="14"/>
      <c r="Q33" s="14"/>
      <c r="R33" s="14"/>
      <c r="S33" s="14"/>
      <c r="T33" s="14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</row>
    <row r="34" spans="1:33" s="15" customFormat="1" ht="15">
      <c r="A34" s="23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  <c r="N34" s="14"/>
      <c r="O34" s="14"/>
      <c r="P34" s="14"/>
      <c r="Q34" s="14"/>
      <c r="R34" s="14"/>
      <c r="S34" s="14"/>
      <c r="T34" s="14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</row>
    <row r="35" spans="1:33" s="15" customFormat="1" ht="15">
      <c r="A35" s="23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2"/>
      <c r="N35" s="14"/>
      <c r="O35" s="14"/>
      <c r="P35" s="14"/>
      <c r="Q35" s="14"/>
      <c r="R35" s="14"/>
      <c r="S35" s="14"/>
      <c r="T35" s="14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</row>
    <row r="36" spans="1:33" s="15" customFormat="1" ht="15">
      <c r="A36" s="23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2"/>
      <c r="N36" s="14"/>
      <c r="O36" s="14"/>
      <c r="P36" s="14"/>
      <c r="Q36" s="14"/>
      <c r="R36" s="14"/>
      <c r="S36" s="14"/>
      <c r="T36" s="14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</row>
    <row r="37" spans="1:33" s="15" customFormat="1" ht="15">
      <c r="A37" s="23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2"/>
      <c r="N37" s="14"/>
      <c r="O37" s="14"/>
      <c r="P37" s="14"/>
      <c r="Q37" s="14"/>
      <c r="R37" s="14"/>
      <c r="S37" s="14"/>
      <c r="T37" s="14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</row>
    <row r="38" spans="1:33" s="15" customFormat="1" ht="15">
      <c r="A38" s="23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2"/>
      <c r="N38" s="14"/>
      <c r="O38" s="14"/>
      <c r="P38" s="14"/>
      <c r="Q38" s="14"/>
      <c r="R38" s="14"/>
      <c r="S38" s="14"/>
      <c r="T38" s="14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</row>
    <row r="39" spans="1:33" s="15" customFormat="1" ht="15">
      <c r="A39" s="23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2"/>
      <c r="N39" s="14"/>
      <c r="O39" s="14"/>
      <c r="P39" s="14"/>
      <c r="Q39" s="14"/>
      <c r="R39" s="14"/>
      <c r="S39" s="14"/>
      <c r="T39" s="14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</row>
    <row r="40" spans="1:33" s="15" customFormat="1" ht="15">
      <c r="A40" s="23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2"/>
      <c r="N40" s="14"/>
      <c r="O40" s="14"/>
      <c r="P40" s="14"/>
      <c r="Q40" s="14"/>
      <c r="R40" s="14"/>
      <c r="S40" s="14"/>
      <c r="T40" s="14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</row>
    <row r="41" spans="1:33" s="15" customFormat="1" ht="15">
      <c r="A41" s="23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2"/>
      <c r="N41" s="14"/>
      <c r="O41" s="14"/>
      <c r="P41" s="14"/>
      <c r="Q41" s="14"/>
      <c r="R41" s="14"/>
      <c r="S41" s="14"/>
      <c r="T41" s="14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</row>
    <row r="42" spans="1:33" s="15" customFormat="1" ht="15.75" thickBot="1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6"/>
      <c r="N42" s="14"/>
      <c r="O42" s="14"/>
      <c r="P42" s="14"/>
      <c r="Q42" s="14"/>
      <c r="R42" s="14"/>
      <c r="S42" s="14"/>
      <c r="T42" s="14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</row>
    <row r="43" spans="1:33" s="30" customFormat="1" ht="1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</row>
    <row r="44" spans="1:33" s="30" customFormat="1" ht="15">
      <c r="A44" s="44">
        <f>IF(OR(A53&gt;0,G14=""),"",IF(A56&gt;25,"Månedsløn ved 25+ års anciennitet",IF(A56&lt;7,"Månedsløn ved "&amp;A56&amp;" års anciennitet","Månedsløn ved "&amp;A56-1&amp;"-"&amp;A56+1&amp;" års anciennitet")))</f>
      </c>
      <c r="B44" s="33"/>
      <c r="C44" s="33"/>
      <c r="D44" s="33"/>
      <c r="E44" s="33"/>
      <c r="F44" s="33"/>
      <c r="G44" s="33"/>
      <c r="H44" s="33"/>
      <c r="I44" s="33"/>
      <c r="J44" s="45">
        <f>IF(AND($G$13&lt;&gt;"",G13&lt;100000000,G13&gt;20000),INT(('Tjek din løn'!A55-G13)/365.25),IF(G14="",-150,G14))</f>
        <v>-150</v>
      </c>
      <c r="K44" s="46">
        <f>IF(G16="",100,G16)</f>
        <v>100</v>
      </c>
      <c r="L44" s="33"/>
      <c r="M44" s="33"/>
      <c r="N44" s="33"/>
      <c r="O44" s="33"/>
      <c r="P44" s="33"/>
      <c r="Q44" s="33"/>
      <c r="R44" s="33"/>
      <c r="S44" s="33"/>
      <c r="T44" s="33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</row>
    <row r="45" spans="1:33" s="30" customFormat="1" ht="15">
      <c r="A45" s="44">
        <f>IF(OR(A53&gt;0,G15=""),"",IF(M49&gt;62,"Månedsløn for 63+ årige",IF(M49&lt;26,"Månedsløn for under-26-årige","Månedsløn for "&amp;M49-2&amp;"-"&amp;M49+2&amp;" årige")))</f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</row>
    <row r="46" spans="1:33" s="30" customFormat="1" ht="15">
      <c r="A46" s="33"/>
      <c r="B46" s="33"/>
      <c r="C46" s="33"/>
      <c r="D46" s="33"/>
      <c r="E46" s="33"/>
      <c r="F46" s="33"/>
      <c r="G46" s="34"/>
      <c r="H46" s="34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</row>
    <row r="47" spans="2:33" s="44" customFormat="1" ht="16.5" customHeight="1">
      <c r="B47" s="44" t="s">
        <v>6</v>
      </c>
      <c r="C47" s="44" t="s">
        <v>7</v>
      </c>
      <c r="I47" s="44" t="s">
        <v>6</v>
      </c>
      <c r="J47" s="44" t="s">
        <v>7</v>
      </c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</row>
    <row r="48" spans="2:33" s="44" customFormat="1" ht="16.5" customHeight="1">
      <c r="B48" s="44">
        <f>'Tjek din løn'!P107</f>
        <v>36114.87434665937</v>
      </c>
      <c r="C48" s="44">
        <f>'Tjek din løn'!Q107</f>
        <v>47921.482946773125</v>
      </c>
      <c r="I48" s="44" t="e">
        <f>'Tjek din løn'!P184</f>
        <v>#N/A</v>
      </c>
      <c r="J48" s="44" t="e">
        <f>'Tjek din løn'!Q184</f>
        <v>#N/A</v>
      </c>
      <c r="M48" s="44">
        <f>IF(A53&gt;0,"",IF(AND('Tjek din løn'!G14&gt;=0,'Tjek din løn'!G14&lt;&gt;""),'Tjek din løn'!G14,INT(('Tjek din løn'!A55-'Tjek din løn'!G13)/365.25)))</f>
        <v>119</v>
      </c>
      <c r="N48" s="44" t="s">
        <v>14</v>
      </c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</row>
    <row r="49" spans="2:33" s="44" customFormat="1" ht="16.5" customHeight="1">
      <c r="B49" s="48">
        <f>M50</f>
        <v>0</v>
      </c>
      <c r="C49" s="48">
        <f>B49</f>
        <v>0</v>
      </c>
      <c r="I49" s="48">
        <f>M50</f>
        <v>0</v>
      </c>
      <c r="J49" s="48">
        <f>I49</f>
        <v>0</v>
      </c>
      <c r="M49" s="44">
        <f>IF(A53&gt;0,"",IF('Tjek din løn'!G15="","",G15))</f>
      </c>
      <c r="N49" s="44" t="s">
        <v>14</v>
      </c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</row>
    <row r="50" spans="2:33" s="44" customFormat="1" ht="16.5" customHeight="1">
      <c r="B50" s="44">
        <f>FLOOR(B48-200,1000)</f>
        <v>35000</v>
      </c>
      <c r="C50" s="44">
        <f>CEILING(C48,500)+500</f>
        <v>48500</v>
      </c>
      <c r="I50" s="44" t="e">
        <f>FLOOR(I48-200,1000)</f>
        <v>#N/A</v>
      </c>
      <c r="J50" s="44" t="e">
        <f>CEILING(J48,500)+500</f>
        <v>#N/A</v>
      </c>
      <c r="M50" s="48">
        <f>IF(A53&gt;0,"",ROUND('Tjek din løn'!G16/'Tjek din løn'!G17,0))</f>
        <v>0</v>
      </c>
      <c r="N50" s="44" t="s">
        <v>16</v>
      </c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</row>
    <row r="51" spans="2:33" s="44" customFormat="1" ht="16.5" customHeight="1">
      <c r="B51" s="44" t="e">
        <f>FLOOR(B49-200,1000)</f>
        <v>#NUM!</v>
      </c>
      <c r="C51" s="48">
        <f>CEILING(C49,500)+500</f>
        <v>500</v>
      </c>
      <c r="I51" s="44" t="e">
        <f>FLOOR(I49-200,1000)</f>
        <v>#NUM!</v>
      </c>
      <c r="J51" s="48">
        <f>CEILING(J49,500)+500</f>
        <v>500</v>
      </c>
      <c r="M51" s="53" t="str">
        <f>IF(AND(G12="",G13="x"),"STX",IF(AND(G13="",G12="x"),"HHTX",0))</f>
        <v>HHTX</v>
      </c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</row>
    <row r="52" spans="21:33" s="44" customFormat="1" ht="16.5" customHeight="1">
      <c r="U52" s="47"/>
      <c r="V52" s="47"/>
      <c r="W52" s="47"/>
      <c r="X52" s="47"/>
      <c r="Y52" s="47"/>
      <c r="Z52" s="47">
        <f>1.069683/1.057703</f>
        <v>1.011326430954625</v>
      </c>
      <c r="AA52" s="47"/>
      <c r="AB52" s="47"/>
      <c r="AC52" s="47"/>
      <c r="AD52" s="47"/>
      <c r="AE52" s="47"/>
      <c r="AF52" s="47"/>
      <c r="AG52" s="47"/>
    </row>
    <row r="53" spans="1:33" s="44" customFormat="1" ht="15">
      <c r="A53" s="44">
        <f>A55-A54</f>
        <v>-29.319806712963327</v>
      </c>
      <c r="B53" s="44" t="s">
        <v>37</v>
      </c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</row>
    <row r="54" spans="1:33" s="44" customFormat="1" ht="15">
      <c r="A54" s="54">
        <v>43768</v>
      </c>
      <c r="B54" s="55">
        <f>(A54-DAY(A54))</f>
        <v>43738</v>
      </c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</row>
    <row r="55" spans="1:33" s="44" customFormat="1" ht="15">
      <c r="A55" s="54">
        <f ca="1">NOW()</f>
        <v>43738.68019328704</v>
      </c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</row>
    <row r="56" spans="1:27" s="44" customFormat="1" ht="15">
      <c r="A56" s="44">
        <f>'Tjek din løn'!$M$48</f>
        <v>119</v>
      </c>
      <c r="D56" s="44" t="s">
        <v>0</v>
      </c>
      <c r="G56" s="44" t="s">
        <v>1</v>
      </c>
      <c r="I56" s="44" t="s">
        <v>2</v>
      </c>
      <c r="S56" s="44">
        <f>'Tjek din løn'!$M$48</f>
        <v>119</v>
      </c>
      <c r="V56" s="44" t="s">
        <v>0</v>
      </c>
      <c r="Y56" s="44" t="s">
        <v>1</v>
      </c>
      <c r="AA56" s="44" t="s">
        <v>2</v>
      </c>
    </row>
    <row r="57" spans="3:27" s="44" customFormat="1" ht="15">
      <c r="C57" s="44" t="s">
        <v>3</v>
      </c>
      <c r="D57" s="44">
        <f>VLOOKUP(A56,'Tjek din løn'!A60:L86,2)</f>
        <v>46529.723419097325</v>
      </c>
      <c r="G57" s="49" t="e">
        <f>HLOOKUP('Tjek din løn'!M50,'Tjek din løn'!D102:K105,4)</f>
        <v>#N/A</v>
      </c>
      <c r="I57" s="49" t="e">
        <f>HLOOKUP('Tjek din løn'!M50,'Tjek din løn'!D96:K99,4)</f>
        <v>#N/A</v>
      </c>
      <c r="U57" s="44" t="s">
        <v>3</v>
      </c>
      <c r="V57" s="44">
        <f>VLOOKUP(S56,'Tjek din løn'!S60:AD86,2)</f>
        <v>42076.86218408622</v>
      </c>
      <c r="Y57" s="49" t="e">
        <f>HLOOKUP('Tjek din løn'!M50,'Tjek din løn'!V102:AC105,4)</f>
        <v>#N/A</v>
      </c>
      <c r="AA57" s="49" t="e">
        <f>HLOOKUP('Tjek din løn'!M50,'Tjek din løn'!V96:AC99,4)</f>
        <v>#N/A</v>
      </c>
    </row>
    <row r="58" spans="3:21" s="44" customFormat="1" ht="15">
      <c r="C58" s="44" t="s">
        <v>4</v>
      </c>
      <c r="U58" s="44" t="s">
        <v>4</v>
      </c>
    </row>
    <row r="59" spans="1:31" s="44" customFormat="1" ht="15">
      <c r="A59" s="44" t="s">
        <v>5</v>
      </c>
      <c r="B59" s="44" t="s">
        <v>28</v>
      </c>
      <c r="C59" s="44" t="s">
        <v>6</v>
      </c>
      <c r="D59" s="56">
        <v>1</v>
      </c>
      <c r="E59" s="56">
        <v>2</v>
      </c>
      <c r="F59" s="56">
        <v>3</v>
      </c>
      <c r="G59" s="56">
        <v>4</v>
      </c>
      <c r="H59" s="56">
        <v>5</v>
      </c>
      <c r="I59" s="56">
        <v>6</v>
      </c>
      <c r="J59" s="56">
        <v>7</v>
      </c>
      <c r="K59" s="56">
        <v>8</v>
      </c>
      <c r="L59" s="56">
        <v>9</v>
      </c>
      <c r="M59" s="44" t="s">
        <v>7</v>
      </c>
      <c r="S59" s="44" t="s">
        <v>5</v>
      </c>
      <c r="T59" s="44" t="s">
        <v>28</v>
      </c>
      <c r="U59" s="44" t="s">
        <v>6</v>
      </c>
      <c r="V59" s="56">
        <v>1</v>
      </c>
      <c r="W59" s="56">
        <v>2</v>
      </c>
      <c r="X59" s="56">
        <v>3</v>
      </c>
      <c r="Y59" s="56">
        <v>4</v>
      </c>
      <c r="Z59" s="56">
        <v>5</v>
      </c>
      <c r="AA59" s="56">
        <v>6</v>
      </c>
      <c r="AB59" s="56">
        <v>7</v>
      </c>
      <c r="AC59" s="56">
        <v>8</v>
      </c>
      <c r="AD59" s="56">
        <v>9</v>
      </c>
      <c r="AE59" s="44" t="s">
        <v>7</v>
      </c>
    </row>
    <row r="60" spans="1:33" s="44" customFormat="1" ht="15">
      <c r="A60" s="57">
        <v>0</v>
      </c>
      <c r="B60" s="58">
        <v>30038.406694462865</v>
      </c>
      <c r="C60" s="50">
        <v>29223.884853101288</v>
      </c>
      <c r="D60" s="50">
        <v>29223.884853101288</v>
      </c>
      <c r="E60" s="50">
        <v>29223.884853101288</v>
      </c>
      <c r="F60" s="50">
        <v>29223.884853101288</v>
      </c>
      <c r="G60" s="50">
        <v>29223.884853101288</v>
      </c>
      <c r="H60" s="50">
        <v>29223.884853101288</v>
      </c>
      <c r="I60" s="50">
        <v>30005.053937373166</v>
      </c>
      <c r="J60" s="50">
        <v>30341.343183101282</v>
      </c>
      <c r="K60" s="50">
        <v>30851.25135310129</v>
      </c>
      <c r="L60" s="50">
        <v>33070.72566115503</v>
      </c>
      <c r="M60" s="50">
        <v>33991.25501485128</v>
      </c>
      <c r="N60" s="44">
        <f aca="true" t="shared" si="0" ref="N60:N89">0*(1.069683/1.057703)</f>
        <v>0</v>
      </c>
      <c r="O60" s="44">
        <f aca="true" t="shared" si="1" ref="O60:O89">(M60-C60)*(1.069683/1.057703)</f>
        <v>4821.367450722195</v>
      </c>
      <c r="S60" s="57">
        <v>0</v>
      </c>
      <c r="T60" s="58">
        <v>29741.04887192477</v>
      </c>
      <c r="U60" s="50">
        <v>29223.884853101288</v>
      </c>
      <c r="V60" s="50">
        <v>29223.884853101288</v>
      </c>
      <c r="W60" s="50">
        <v>29223.884853101288</v>
      </c>
      <c r="X60" s="50">
        <v>29223.884853101288</v>
      </c>
      <c r="Y60" s="50">
        <v>29223.884853101288</v>
      </c>
      <c r="Z60" s="50">
        <v>29223.884853101288</v>
      </c>
      <c r="AA60" s="50">
        <v>29223.884853101288</v>
      </c>
      <c r="AB60" s="50">
        <v>29223.884853101288</v>
      </c>
      <c r="AC60" s="50">
        <v>29751.54939980129</v>
      </c>
      <c r="AD60" s="50">
        <v>30354.904570601288</v>
      </c>
      <c r="AE60" s="50">
        <v>36369.701783781275</v>
      </c>
      <c r="AF60" s="44">
        <f aca="true" t="shared" si="2" ref="AF60:AF89">0*(1.069683/1.057703)</f>
        <v>0</v>
      </c>
      <c r="AG60" s="44">
        <f aca="true" t="shared" si="3" ref="AG60:AG66">(AE60-U60)*(1.069683/1.057703)</f>
        <v>7226.753532759724</v>
      </c>
    </row>
    <row r="61" spans="1:33" s="44" customFormat="1" ht="15">
      <c r="A61" s="57">
        <v>1</v>
      </c>
      <c r="B61" s="58">
        <v>30366.406439590697</v>
      </c>
      <c r="C61" s="50">
        <v>29223.884853101288</v>
      </c>
      <c r="D61" s="50">
        <v>29223.884853101288</v>
      </c>
      <c r="E61" s="50">
        <v>29223.884853101288</v>
      </c>
      <c r="F61" s="50">
        <v>29223.884853101288</v>
      </c>
      <c r="G61" s="50">
        <v>29917.14298210129</v>
      </c>
      <c r="H61" s="50">
        <v>30105.375040601288</v>
      </c>
      <c r="I61" s="50">
        <v>30308.795853101285</v>
      </c>
      <c r="J61" s="50">
        <v>30780.099273351287</v>
      </c>
      <c r="K61" s="50">
        <v>31246.76368912399</v>
      </c>
      <c r="L61" s="50">
        <v>31719.18015310129</v>
      </c>
      <c r="M61" s="50">
        <v>35136.59113321944</v>
      </c>
      <c r="N61" s="44">
        <f t="shared" si="0"/>
        <v>0</v>
      </c>
      <c r="O61" s="44">
        <f t="shared" si="1"/>
        <v>5979.676139554886</v>
      </c>
      <c r="S61" s="57">
        <v>1</v>
      </c>
      <c r="T61" s="58">
        <v>29692.9151461676</v>
      </c>
      <c r="U61" s="50">
        <v>29223.884853101288</v>
      </c>
      <c r="V61" s="50">
        <v>29223.884853101288</v>
      </c>
      <c r="W61" s="50">
        <v>29223.884853101288</v>
      </c>
      <c r="X61" s="50">
        <v>29223.884853101288</v>
      </c>
      <c r="Y61" s="50">
        <v>29223.884853101288</v>
      </c>
      <c r="Z61" s="50">
        <v>29223.884853101288</v>
      </c>
      <c r="AA61" s="50">
        <v>29223.884853101288</v>
      </c>
      <c r="AB61" s="50">
        <v>29752.236510101287</v>
      </c>
      <c r="AC61" s="50">
        <v>30264.91120315129</v>
      </c>
      <c r="AD61" s="50">
        <v>30308.795853101285</v>
      </c>
      <c r="AE61" s="50">
        <v>34242.68313910128</v>
      </c>
      <c r="AF61" s="44">
        <f t="shared" si="2"/>
        <v>0</v>
      </c>
      <c r="AG61" s="44">
        <f t="shared" si="3"/>
        <v>5075.643358261564</v>
      </c>
    </row>
    <row r="62" spans="1:33" s="44" customFormat="1" ht="15">
      <c r="A62" s="57">
        <v>2</v>
      </c>
      <c r="B62" s="58">
        <v>31283.165434579412</v>
      </c>
      <c r="C62" s="50">
        <v>29505.961713101286</v>
      </c>
      <c r="D62" s="50">
        <v>30308.795853101285</v>
      </c>
      <c r="E62" s="50">
        <v>30308.795853101285</v>
      </c>
      <c r="F62" s="50">
        <v>30308.795853101285</v>
      </c>
      <c r="G62" s="50">
        <v>30647.550121649583</v>
      </c>
      <c r="H62" s="50">
        <v>30932.61967810129</v>
      </c>
      <c r="I62" s="50">
        <v>31335.84493310128</v>
      </c>
      <c r="J62" s="50">
        <v>31834.54235610129</v>
      </c>
      <c r="K62" s="50">
        <v>32308.684626801285</v>
      </c>
      <c r="L62" s="50">
        <v>33418.22310650128</v>
      </c>
      <c r="M62" s="50">
        <v>35171.48460989387</v>
      </c>
      <c r="N62" s="44">
        <f t="shared" si="0"/>
        <v>0</v>
      </c>
      <c r="O62" s="44">
        <f t="shared" si="1"/>
        <v>5729.693050704956</v>
      </c>
      <c r="S62" s="57">
        <v>2</v>
      </c>
      <c r="T62" s="58">
        <v>32593.789888469873</v>
      </c>
      <c r="U62" s="50">
        <v>31228.85886032818</v>
      </c>
      <c r="V62" s="50">
        <v>31228.919886571926</v>
      </c>
      <c r="W62" s="50">
        <v>32313.830886571926</v>
      </c>
      <c r="X62" s="50">
        <v>32313.830886571926</v>
      </c>
      <c r="Y62" s="50">
        <v>32313.830886571926</v>
      </c>
      <c r="Z62" s="50">
        <v>32313.830886571926</v>
      </c>
      <c r="AA62" s="50">
        <v>32313.830886571926</v>
      </c>
      <c r="AB62" s="50">
        <v>32519.464722848592</v>
      </c>
      <c r="AC62" s="50">
        <v>33371.61911157192</v>
      </c>
      <c r="AD62" s="50">
        <v>34304.86859469692</v>
      </c>
      <c r="AE62" s="50">
        <v>35900.55343326567</v>
      </c>
      <c r="AF62" s="44">
        <f t="shared" si="2"/>
        <v>0</v>
      </c>
      <c r="AG62" s="44">
        <f t="shared" si="3"/>
        <v>4724.608198958962</v>
      </c>
    </row>
    <row r="63" spans="1:33" s="44" customFormat="1" ht="15">
      <c r="A63" s="57">
        <v>3</v>
      </c>
      <c r="B63" s="58">
        <v>35498.477803528265</v>
      </c>
      <c r="C63" s="50">
        <v>33373.84175934855</v>
      </c>
      <c r="D63" s="50">
        <v>34142.416108791665</v>
      </c>
      <c r="E63" s="50">
        <v>34142.416108791665</v>
      </c>
      <c r="F63" s="50">
        <v>34475.845422791666</v>
      </c>
      <c r="G63" s="50">
        <v>34983.4542939723</v>
      </c>
      <c r="H63" s="50">
        <v>35265.208584541666</v>
      </c>
      <c r="I63" s="50">
        <v>35509.49683286392</v>
      </c>
      <c r="J63" s="50">
        <v>35673.044711291666</v>
      </c>
      <c r="K63" s="50">
        <v>36878.73812964767</v>
      </c>
      <c r="L63" s="50">
        <v>37776.86795879166</v>
      </c>
      <c r="M63" s="50">
        <v>42617.130126307915</v>
      </c>
      <c r="N63" s="44">
        <f t="shared" si="0"/>
        <v>0</v>
      </c>
      <c r="O63" s="44">
        <f t="shared" si="1"/>
        <v>9347.98183444142</v>
      </c>
      <c r="S63" s="57">
        <v>3</v>
      </c>
      <c r="T63" s="58">
        <v>34797.436084671426</v>
      </c>
      <c r="U63" s="50">
        <v>33263.138945068335</v>
      </c>
      <c r="V63" s="50">
        <v>34142.416108791665</v>
      </c>
      <c r="W63" s="50">
        <v>34142.416108791665</v>
      </c>
      <c r="X63" s="50">
        <v>34142.416108791665</v>
      </c>
      <c r="Y63" s="50">
        <v>34142.416108791665</v>
      </c>
      <c r="Z63" s="50">
        <v>34348.049945068335</v>
      </c>
      <c r="AA63" s="50">
        <v>34789.746338791665</v>
      </c>
      <c r="AB63" s="50">
        <v>35152.654959865074</v>
      </c>
      <c r="AC63" s="50">
        <v>35650.09884364167</v>
      </c>
      <c r="AD63" s="50">
        <v>36141.96319989637</v>
      </c>
      <c r="AE63" s="50">
        <v>38319.54948191667</v>
      </c>
      <c r="AF63" s="44">
        <f t="shared" si="2"/>
        <v>0</v>
      </c>
      <c r="AG63" s="44">
        <f t="shared" si="3"/>
        <v>5113.681621672187</v>
      </c>
    </row>
    <row r="64" spans="1:33" s="44" customFormat="1" ht="15">
      <c r="A64" s="57">
        <v>4</v>
      </c>
      <c r="B64" s="58">
        <v>35498.598405449455</v>
      </c>
      <c r="C64" s="50">
        <v>32051.783236570813</v>
      </c>
      <c r="D64" s="50">
        <v>34142.416108791665</v>
      </c>
      <c r="E64" s="50">
        <v>34142.416108791665</v>
      </c>
      <c r="F64" s="50">
        <v>34438.506402541665</v>
      </c>
      <c r="G64" s="50">
        <v>34983.222133791656</v>
      </c>
      <c r="H64" s="50">
        <v>35290.613583791666</v>
      </c>
      <c r="I64" s="50">
        <v>35640.31656279166</v>
      </c>
      <c r="J64" s="50">
        <v>35851.96461704167</v>
      </c>
      <c r="K64" s="50">
        <v>36267.03348379167</v>
      </c>
      <c r="L64" s="50">
        <v>37112.06061081437</v>
      </c>
      <c r="M64" s="50">
        <v>41719.76452655416</v>
      </c>
      <c r="N64" s="44">
        <f t="shared" si="0"/>
        <v>0</v>
      </c>
      <c r="O64" s="44">
        <f t="shared" si="1"/>
        <v>9777.485012534948</v>
      </c>
      <c r="S64" s="57">
        <v>4</v>
      </c>
      <c r="T64" s="58">
        <v>36842.81291114217</v>
      </c>
      <c r="U64" s="50">
        <v>34509.05801918535</v>
      </c>
      <c r="V64" s="50">
        <v>35944.08810908562</v>
      </c>
      <c r="W64" s="50">
        <v>35944.08810908562</v>
      </c>
      <c r="X64" s="50">
        <v>35944.08810908562</v>
      </c>
      <c r="Y64" s="50">
        <v>36149.72194536229</v>
      </c>
      <c r="Z64" s="50">
        <v>36615.28638108563</v>
      </c>
      <c r="AA64" s="50">
        <v>36965.71263408562</v>
      </c>
      <c r="AB64" s="50">
        <v>37125.17094734896</v>
      </c>
      <c r="AC64" s="50">
        <v>37644.34164234313</v>
      </c>
      <c r="AD64" s="50">
        <v>38291.92592233563</v>
      </c>
      <c r="AE64" s="50">
        <v>40769.609500435625</v>
      </c>
      <c r="AF64" s="44">
        <f t="shared" si="2"/>
        <v>0</v>
      </c>
      <c r="AG64" s="44">
        <f t="shared" si="3"/>
        <v>6331.46118534053</v>
      </c>
    </row>
    <row r="65" spans="1:33" s="44" customFormat="1" ht="15">
      <c r="A65" s="59">
        <v>5</v>
      </c>
      <c r="B65" s="60">
        <v>38030.48261608669</v>
      </c>
      <c r="C65" s="61">
        <v>35397.55533922665</v>
      </c>
      <c r="D65" s="50">
        <v>35944.08810908562</v>
      </c>
      <c r="E65" s="50">
        <v>36689.81976678562</v>
      </c>
      <c r="F65" s="50">
        <v>37018.149999085625</v>
      </c>
      <c r="G65" s="50">
        <v>37363.51333408563</v>
      </c>
      <c r="H65" s="50">
        <v>37545.77838208563</v>
      </c>
      <c r="I65" s="50">
        <v>37931.75533397548</v>
      </c>
      <c r="J65" s="50">
        <v>38423.480422010616</v>
      </c>
      <c r="K65" s="50">
        <v>39352.55299778563</v>
      </c>
      <c r="L65" s="50">
        <v>40163.91551069886</v>
      </c>
      <c r="M65" s="50">
        <v>45797.10686602711</v>
      </c>
      <c r="N65" s="44">
        <f t="shared" si="0"/>
        <v>0</v>
      </c>
      <c r="O65" s="44">
        <f t="shared" si="1"/>
        <v>10517.34132912783</v>
      </c>
      <c r="Q65" s="47"/>
      <c r="S65" s="59">
        <v>5</v>
      </c>
      <c r="T65" s="60">
        <v>37095.220440545236</v>
      </c>
      <c r="U65" s="61">
        <v>35944.08810908562</v>
      </c>
      <c r="V65" s="50">
        <v>35944.08810908562</v>
      </c>
      <c r="W65" s="50">
        <v>35944.08810908562</v>
      </c>
      <c r="X65" s="50">
        <v>35944.08810908562</v>
      </c>
      <c r="Y65" s="50">
        <v>36477.93664848563</v>
      </c>
      <c r="Z65" s="50">
        <v>36848.18060908562</v>
      </c>
      <c r="AA65" s="50">
        <v>37025.382739085624</v>
      </c>
      <c r="AB65" s="50">
        <v>37572.520712436</v>
      </c>
      <c r="AC65" s="50">
        <v>38113.91010908563</v>
      </c>
      <c r="AD65" s="50">
        <v>38997.06382678563</v>
      </c>
      <c r="AE65" s="50">
        <v>41521.80541951062</v>
      </c>
      <c r="AF65" s="44">
        <f t="shared" si="2"/>
        <v>0</v>
      </c>
      <c r="AG65" s="44">
        <f t="shared" si="3"/>
        <v>5640.892940425949</v>
      </c>
    </row>
    <row r="66" spans="1:33" s="44" customFormat="1" ht="15">
      <c r="A66" s="59">
        <v>6</v>
      </c>
      <c r="B66" s="60">
        <v>40243.5987101783</v>
      </c>
      <c r="C66" s="61">
        <v>36327.42332908562</v>
      </c>
      <c r="D66" s="50">
        <v>37978.296234085625</v>
      </c>
      <c r="E66" s="50">
        <v>38954.716134085626</v>
      </c>
      <c r="F66" s="50">
        <v>39397.721459085624</v>
      </c>
      <c r="G66" s="50">
        <v>39493.555264085626</v>
      </c>
      <c r="H66" s="50">
        <v>40057.70898408563</v>
      </c>
      <c r="I66" s="50">
        <v>40359.675879085626</v>
      </c>
      <c r="J66" s="50">
        <v>41126.34631908563</v>
      </c>
      <c r="K66" s="50">
        <v>41603.679623495445</v>
      </c>
      <c r="L66" s="50">
        <v>42618.64139958563</v>
      </c>
      <c r="M66" s="50">
        <v>45069.85234780732</v>
      </c>
      <c r="N66" s="44">
        <f t="shared" si="0"/>
        <v>0</v>
      </c>
      <c r="O66" s="44">
        <f t="shared" si="1"/>
        <v>8841.44953737796</v>
      </c>
      <c r="Q66" s="47"/>
      <c r="S66" s="59">
        <v>6</v>
      </c>
      <c r="T66" s="60">
        <v>38553.585938472854</v>
      </c>
      <c r="U66" s="61">
        <v>35944.08810908562</v>
      </c>
      <c r="V66" s="50">
        <v>36620.46399877431</v>
      </c>
      <c r="W66" s="50">
        <v>37215.92927438563</v>
      </c>
      <c r="X66" s="50">
        <v>37978.296234085625</v>
      </c>
      <c r="Y66" s="50">
        <v>38325.756262546296</v>
      </c>
      <c r="Z66" s="50">
        <v>38934.87130371062</v>
      </c>
      <c r="AA66" s="50">
        <v>39022.107189035625</v>
      </c>
      <c r="AB66" s="50">
        <v>39165.77652821063</v>
      </c>
      <c r="AC66" s="50">
        <v>39827.68977023563</v>
      </c>
      <c r="AD66" s="50">
        <v>40955.9195988282</v>
      </c>
      <c r="AE66" s="50">
        <v>42365.491883215625</v>
      </c>
      <c r="AF66" s="44">
        <f t="shared" si="2"/>
        <v>0</v>
      </c>
      <c r="AG66" s="44">
        <f t="shared" si="3"/>
        <v>6494.135360609457</v>
      </c>
    </row>
    <row r="67" spans="1:33" s="44" customFormat="1" ht="15">
      <c r="A67" s="59">
        <v>7</v>
      </c>
      <c r="B67" s="62">
        <v>40689.46586475448</v>
      </c>
      <c r="C67" s="61">
        <v>36227.55094288813</v>
      </c>
      <c r="D67" s="50">
        <v>38534.61060917181</v>
      </c>
      <c r="E67" s="50">
        <v>39162.65740908562</v>
      </c>
      <c r="F67" s="50">
        <v>39605.66273408563</v>
      </c>
      <c r="G67" s="50">
        <v>39970.19283008562</v>
      </c>
      <c r="H67" s="50">
        <v>40347.01858408563</v>
      </c>
      <c r="I67" s="50">
        <v>41047.805165812104</v>
      </c>
      <c r="J67" s="50">
        <v>41526.85929658563</v>
      </c>
      <c r="K67" s="50">
        <v>42317.940234085625</v>
      </c>
      <c r="L67" s="50">
        <v>43276.27828408562</v>
      </c>
      <c r="M67" s="50">
        <v>46159.31444683813</v>
      </c>
      <c r="N67" s="44">
        <f t="shared" si="0"/>
        <v>0</v>
      </c>
      <c r="O67" s="44">
        <f t="shared" si="1"/>
        <v>10044.254937535157</v>
      </c>
      <c r="Q67" s="62"/>
      <c r="R67" s="48"/>
      <c r="S67" s="59">
        <v>7</v>
      </c>
      <c r="T67" s="62">
        <v>38884.106819906374</v>
      </c>
      <c r="U67" s="61">
        <v>35944.08810908562</v>
      </c>
      <c r="V67" s="50">
        <v>36793.02482996733</v>
      </c>
      <c r="W67" s="50">
        <v>37978.296234085625</v>
      </c>
      <c r="X67" s="50">
        <v>37987.73495978562</v>
      </c>
      <c r="Y67" s="50">
        <v>38565.95635908563</v>
      </c>
      <c r="Z67" s="50">
        <v>39012.12600783563</v>
      </c>
      <c r="AA67" s="50">
        <v>39081.28908408563</v>
      </c>
      <c r="AB67" s="50">
        <v>39606.20518958563</v>
      </c>
      <c r="AC67" s="50">
        <v>40306.739260362294</v>
      </c>
      <c r="AD67" s="50">
        <v>41032.3018160963</v>
      </c>
      <c r="AE67" s="50">
        <v>43096.00404777063</v>
      </c>
      <c r="AF67" s="44">
        <f t="shared" si="2"/>
        <v>0</v>
      </c>
      <c r="AG67" s="44">
        <f>43591.384334618*(1.069683/1.057703)</f>
        <v>44085.119139500566</v>
      </c>
    </row>
    <row r="68" spans="1:33" s="44" customFormat="1" ht="15">
      <c r="A68" s="59">
        <v>8</v>
      </c>
      <c r="B68" s="62">
        <v>41134.81568477363</v>
      </c>
      <c r="C68" s="61">
        <v>37728.54068096063</v>
      </c>
      <c r="D68" s="50">
        <v>39063.207234085625</v>
      </c>
      <c r="E68" s="50">
        <v>39596.62180908563</v>
      </c>
      <c r="F68" s="50">
        <v>39974.53247408563</v>
      </c>
      <c r="G68" s="50">
        <v>40439.36582255666</v>
      </c>
      <c r="H68" s="50">
        <v>41124.538134085626</v>
      </c>
      <c r="I68" s="50">
        <v>41526.85929658563</v>
      </c>
      <c r="J68" s="50">
        <v>42015.06924658563</v>
      </c>
      <c r="K68" s="50">
        <v>42693.138621585626</v>
      </c>
      <c r="L68" s="50">
        <v>44080.55897208562</v>
      </c>
      <c r="M68" s="50">
        <v>47119.49639349188</v>
      </c>
      <c r="N68" s="44">
        <f t="shared" si="0"/>
        <v>0</v>
      </c>
      <c r="O68" s="44">
        <f t="shared" si="1"/>
        <v>9497.321724007177</v>
      </c>
      <c r="Q68" s="62"/>
      <c r="R68" s="48"/>
      <c r="S68" s="59">
        <v>8</v>
      </c>
      <c r="T68" s="62">
        <v>39191.80251625038</v>
      </c>
      <c r="U68" s="61">
        <v>35927.81444408562</v>
      </c>
      <c r="V68" s="50">
        <v>36958.83249016063</v>
      </c>
      <c r="W68" s="50">
        <v>37978.296234085625</v>
      </c>
      <c r="X68" s="50">
        <v>38482.96066758563</v>
      </c>
      <c r="Y68" s="50">
        <v>38993.82864852898</v>
      </c>
      <c r="Z68" s="50">
        <v>39144.48514983562</v>
      </c>
      <c r="AA68" s="50">
        <v>39582.15632908563</v>
      </c>
      <c r="AB68" s="50">
        <v>40059.788396835625</v>
      </c>
      <c r="AC68" s="50">
        <v>40613.16533423563</v>
      </c>
      <c r="AD68" s="50">
        <v>41162.77220591063</v>
      </c>
      <c r="AE68" s="50">
        <v>43795.496367864085</v>
      </c>
      <c r="AF68" s="44">
        <f t="shared" si="2"/>
        <v>0</v>
      </c>
      <c r="AG68" s="44">
        <f>43591.384334618*(1.069683/1.057703)</f>
        <v>44085.119139500566</v>
      </c>
    </row>
    <row r="69" spans="1:33" s="44" customFormat="1" ht="15">
      <c r="A69" s="59">
        <v>9</v>
      </c>
      <c r="B69" s="62">
        <v>41599.36140980087</v>
      </c>
      <c r="C69" s="61">
        <v>37883.40268528562</v>
      </c>
      <c r="D69" s="50">
        <v>39372.28029613563</v>
      </c>
      <c r="E69" s="50">
        <v>39945.09522228562</v>
      </c>
      <c r="F69" s="50">
        <v>40573.04170908563</v>
      </c>
      <c r="G69" s="50">
        <v>41233.029234085625</v>
      </c>
      <c r="H69" s="50">
        <v>41594.66623408562</v>
      </c>
      <c r="I69" s="50">
        <v>41909.32658778563</v>
      </c>
      <c r="J69" s="50">
        <v>42336.02208408562</v>
      </c>
      <c r="K69" s="50">
        <v>42995.10551658563</v>
      </c>
      <c r="L69" s="50">
        <v>44217.854459135626</v>
      </c>
      <c r="M69" s="50">
        <v>47938.44824253562</v>
      </c>
      <c r="N69" s="44">
        <f t="shared" si="0"/>
        <v>0</v>
      </c>
      <c r="O69" s="44">
        <f t="shared" si="1"/>
        <v>10168.9333364998</v>
      </c>
      <c r="Q69" s="62"/>
      <c r="R69" s="48"/>
      <c r="S69" s="59">
        <v>9</v>
      </c>
      <c r="T69" s="62">
        <v>39372.39120846608</v>
      </c>
      <c r="U69" s="61">
        <v>34902.573549085624</v>
      </c>
      <c r="V69" s="50">
        <v>37189.90949223563</v>
      </c>
      <c r="W69" s="50">
        <v>38107.45488863563</v>
      </c>
      <c r="X69" s="50">
        <v>38832.22968218562</v>
      </c>
      <c r="Y69" s="50">
        <v>39039.73080591929</v>
      </c>
      <c r="Z69" s="50">
        <v>39334.43498408563</v>
      </c>
      <c r="AA69" s="50">
        <v>39819.02856408563</v>
      </c>
      <c r="AB69" s="50">
        <v>40154.356472335625</v>
      </c>
      <c r="AC69" s="50">
        <v>40696.649235685625</v>
      </c>
      <c r="AD69" s="50">
        <v>41240.044991885625</v>
      </c>
      <c r="AE69" s="50">
        <v>43723.35909522372</v>
      </c>
      <c r="AF69" s="44">
        <f t="shared" si="2"/>
        <v>0</v>
      </c>
      <c r="AG69" s="44">
        <f>42952.7668218472*(1.069683/1.057703)</f>
        <v>43439.26836956497</v>
      </c>
    </row>
    <row r="70" spans="1:33" s="44" customFormat="1" ht="15">
      <c r="A70" s="59">
        <v>10</v>
      </c>
      <c r="B70" s="62">
        <v>42162.952524343185</v>
      </c>
      <c r="C70" s="61">
        <v>36916.551012565156</v>
      </c>
      <c r="D70" s="50">
        <v>40078.75625748563</v>
      </c>
      <c r="E70" s="50">
        <v>40701.96529958562</v>
      </c>
      <c r="F70" s="50">
        <v>41368.178970388595</v>
      </c>
      <c r="G70" s="50">
        <v>41748.361959085625</v>
      </c>
      <c r="H70" s="50">
        <v>41931.169462585625</v>
      </c>
      <c r="I70" s="50">
        <v>42336.02208408562</v>
      </c>
      <c r="J70" s="50">
        <v>42879.38167658563</v>
      </c>
      <c r="K70" s="50">
        <v>43554.71707586563</v>
      </c>
      <c r="L70" s="50">
        <v>45004.28826779675</v>
      </c>
      <c r="M70" s="50">
        <v>49634.960001194835</v>
      </c>
      <c r="N70" s="44">
        <f t="shared" si="0"/>
        <v>0</v>
      </c>
      <c r="O70" s="44">
        <f t="shared" si="1"/>
        <v>12862.463169892075</v>
      </c>
      <c r="Q70" s="62"/>
      <c r="R70" s="48"/>
      <c r="S70" s="59">
        <v>10</v>
      </c>
      <c r="T70" s="62">
        <v>39719.96696595104</v>
      </c>
      <c r="U70" s="61">
        <v>34859.17710908563</v>
      </c>
      <c r="V70" s="50">
        <v>37978.296234085625</v>
      </c>
      <c r="W70" s="50">
        <v>38505.888453385625</v>
      </c>
      <c r="X70" s="50">
        <v>39037.83839853563</v>
      </c>
      <c r="Y70" s="50">
        <v>39353.74639988563</v>
      </c>
      <c r="Z70" s="50">
        <v>39800.04262158563</v>
      </c>
      <c r="AA70" s="50">
        <v>40117.957708285634</v>
      </c>
      <c r="AB70" s="50">
        <v>40617.83045153563</v>
      </c>
      <c r="AC70" s="50">
        <v>41037.69804661229</v>
      </c>
      <c r="AD70" s="50">
        <v>41700.228074385624</v>
      </c>
      <c r="AE70" s="50">
        <v>43742.57294267839</v>
      </c>
      <c r="AF70" s="44">
        <f t="shared" si="2"/>
        <v>0</v>
      </c>
      <c r="AG70" s="44">
        <f>42808.6451526804*(1.069683/1.057703)</f>
        <v>43293.514316263245</v>
      </c>
    </row>
    <row r="71" spans="1:33" s="44" customFormat="1" ht="15">
      <c r="A71" s="59">
        <v>11</v>
      </c>
      <c r="B71" s="62">
        <v>42627.36694746813</v>
      </c>
      <c r="C71" s="61">
        <v>36898.071512141854</v>
      </c>
      <c r="D71" s="50">
        <v>40464.28842226063</v>
      </c>
      <c r="E71" s="50">
        <v>41219.57633768563</v>
      </c>
      <c r="F71" s="50">
        <v>41766.44380908562</v>
      </c>
      <c r="G71" s="50">
        <v>42010.65203075747</v>
      </c>
      <c r="H71" s="50">
        <v>42368.72037118845</v>
      </c>
      <c r="I71" s="50">
        <v>42860.395734085636</v>
      </c>
      <c r="J71" s="50">
        <v>43248.34576075894</v>
      </c>
      <c r="K71" s="50">
        <v>44245.917490335625</v>
      </c>
      <c r="L71" s="50">
        <v>45328.88469146062</v>
      </c>
      <c r="M71" s="50">
        <v>50434.451952323965</v>
      </c>
      <c r="N71" s="44">
        <f t="shared" si="0"/>
        <v>0</v>
      </c>
      <c r="O71" s="44">
        <f t="shared" si="1"/>
        <v>13689.69931861337</v>
      </c>
      <c r="Q71" s="62"/>
      <c r="R71" s="48"/>
      <c r="S71" s="59">
        <v>11</v>
      </c>
      <c r="T71" s="62">
        <v>39911.73283642283</v>
      </c>
      <c r="U71" s="61">
        <v>35830.17245408562</v>
      </c>
      <c r="V71" s="50">
        <v>37978.296234085625</v>
      </c>
      <c r="W71" s="50">
        <v>38812.448138285625</v>
      </c>
      <c r="X71" s="50">
        <v>39127.12657383563</v>
      </c>
      <c r="Y71" s="50">
        <v>39594.813624085626</v>
      </c>
      <c r="Z71" s="50">
        <v>39870.335813460624</v>
      </c>
      <c r="AA71" s="50">
        <v>40237.37928661062</v>
      </c>
      <c r="AB71" s="50">
        <v>40601.800891510626</v>
      </c>
      <c r="AC71" s="50">
        <v>41077.16208480696</v>
      </c>
      <c r="AD71" s="50">
        <v>41744.53362879191</v>
      </c>
      <c r="AE71" s="50">
        <v>43556.45654983562</v>
      </c>
      <c r="AF71" s="44">
        <f t="shared" si="2"/>
        <v>0</v>
      </c>
      <c r="AG71" s="44">
        <f>42749.4646838955*(1.069683/1.057703)</f>
        <v>43233.6635439848</v>
      </c>
    </row>
    <row r="72" spans="1:33" s="44" customFormat="1" ht="15">
      <c r="A72" s="59">
        <v>12</v>
      </c>
      <c r="B72" s="62">
        <v>43138.27076258585</v>
      </c>
      <c r="C72" s="61">
        <v>36881.00929814982</v>
      </c>
      <c r="D72" s="50">
        <v>40961.71107483563</v>
      </c>
      <c r="E72" s="50">
        <v>41748.50661388563</v>
      </c>
      <c r="F72" s="50">
        <v>42137.12173408563</v>
      </c>
      <c r="G72" s="50">
        <v>42553.004284085626</v>
      </c>
      <c r="H72" s="50">
        <v>42904.15459475978</v>
      </c>
      <c r="I72" s="50">
        <v>43224.89662816331</v>
      </c>
      <c r="J72" s="50">
        <v>43941.43721818562</v>
      </c>
      <c r="K72" s="50">
        <v>44831.22514574578</v>
      </c>
      <c r="L72" s="50">
        <v>45883.635849460625</v>
      </c>
      <c r="M72" s="50">
        <v>50978.085233471546</v>
      </c>
      <c r="N72" s="44">
        <f t="shared" si="0"/>
        <v>0</v>
      </c>
      <c r="O72" s="44">
        <f t="shared" si="1"/>
        <v>14256.745492565256</v>
      </c>
      <c r="Q72" s="62"/>
      <c r="R72" s="48"/>
      <c r="S72" s="59">
        <v>12</v>
      </c>
      <c r="T72" s="62">
        <v>40199.31216037579</v>
      </c>
      <c r="U72" s="61">
        <v>36200.88519806649</v>
      </c>
      <c r="V72" s="50">
        <v>37978.296234085625</v>
      </c>
      <c r="W72" s="50">
        <v>38887.45165208563</v>
      </c>
      <c r="X72" s="50">
        <v>39391.374729735624</v>
      </c>
      <c r="Y72" s="50">
        <v>39993.81299042402</v>
      </c>
      <c r="Z72" s="50">
        <v>40235.27275108563</v>
      </c>
      <c r="AA72" s="50">
        <v>40410.95136282059</v>
      </c>
      <c r="AB72" s="50">
        <v>40924.75177343563</v>
      </c>
      <c r="AC72" s="50">
        <v>41486.39211628563</v>
      </c>
      <c r="AD72" s="50">
        <v>42089.07825863563</v>
      </c>
      <c r="AE72" s="50">
        <v>44088.39745406063</v>
      </c>
      <c r="AF72" s="44">
        <f t="shared" si="2"/>
        <v>0</v>
      </c>
      <c r="AG72" s="44">
        <f>43574.9539026804*(1.069683/1.057703)</f>
        <v>44068.50260941005</v>
      </c>
    </row>
    <row r="73" spans="1:33" s="44" customFormat="1" ht="15">
      <c r="A73" s="59">
        <v>13</v>
      </c>
      <c r="B73" s="62">
        <v>43519.294055538565</v>
      </c>
      <c r="C73" s="61">
        <v>39211.618086376875</v>
      </c>
      <c r="D73" s="50">
        <v>41550.17584216063</v>
      </c>
      <c r="E73" s="50">
        <v>42236.57190908562</v>
      </c>
      <c r="F73" s="50">
        <v>42606.363823435626</v>
      </c>
      <c r="G73" s="50">
        <v>42948.963528481625</v>
      </c>
      <c r="H73" s="50">
        <v>43185.86903408562</v>
      </c>
      <c r="I73" s="50">
        <v>43624.89635208563</v>
      </c>
      <c r="J73" s="50">
        <v>44204.73417836637</v>
      </c>
      <c r="K73" s="50">
        <v>44972.484841857884</v>
      </c>
      <c r="L73" s="50">
        <v>46188.10708068563</v>
      </c>
      <c r="M73" s="50">
        <v>51068.457161698134</v>
      </c>
      <c r="N73" s="44">
        <f t="shared" si="0"/>
        <v>0</v>
      </c>
      <c r="O73" s="44">
        <f t="shared" si="1"/>
        <v>11991.134744447985</v>
      </c>
      <c r="Q73" s="62"/>
      <c r="R73" s="48"/>
      <c r="S73" s="59">
        <v>13</v>
      </c>
      <c r="T73" s="62">
        <v>40164.328623724345</v>
      </c>
      <c r="U73" s="61">
        <v>36635.817869714374</v>
      </c>
      <c r="V73" s="50">
        <v>37978.296234085625</v>
      </c>
      <c r="W73" s="50">
        <v>38781.13037408563</v>
      </c>
      <c r="X73" s="50">
        <v>39432.26491077844</v>
      </c>
      <c r="Y73" s="50">
        <v>40028.110453605004</v>
      </c>
      <c r="Z73" s="50">
        <v>40261.08459196062</v>
      </c>
      <c r="AA73" s="50">
        <v>40468.166979085625</v>
      </c>
      <c r="AB73" s="50">
        <v>40847.92420212566</v>
      </c>
      <c r="AC73" s="50">
        <v>41269.05122507233</v>
      </c>
      <c r="AD73" s="50">
        <v>42057.10954783563</v>
      </c>
      <c r="AE73" s="50">
        <v>44656.644706000276</v>
      </c>
      <c r="AF73" s="44">
        <f t="shared" si="2"/>
        <v>0</v>
      </c>
      <c r="AG73" s="44">
        <f>43574.9539026804*(1.069683/1.057703)</f>
        <v>44068.50260941005</v>
      </c>
    </row>
    <row r="74" spans="1:33" s="44" customFormat="1" ht="15">
      <c r="A74" s="59">
        <v>14</v>
      </c>
      <c r="B74" s="62">
        <v>43962.596261892126</v>
      </c>
      <c r="C74" s="61">
        <v>38274.970571590624</v>
      </c>
      <c r="D74" s="50">
        <v>41739.321034085624</v>
      </c>
      <c r="E74" s="50">
        <v>42511.41602908562</v>
      </c>
      <c r="F74" s="50">
        <v>42963.46227908562</v>
      </c>
      <c r="G74" s="50">
        <v>43280.87630477216</v>
      </c>
      <c r="H74" s="50">
        <v>43655.997134085635</v>
      </c>
      <c r="I74" s="50">
        <v>44044.92600192814</v>
      </c>
      <c r="J74" s="50">
        <v>44571.00773446997</v>
      </c>
      <c r="K74" s="50">
        <v>45370.373496285625</v>
      </c>
      <c r="L74" s="50">
        <v>46410.02562573563</v>
      </c>
      <c r="M74" s="50">
        <v>53096.44596424101</v>
      </c>
      <c r="N74" s="44">
        <f t="shared" si="0"/>
        <v>0</v>
      </c>
      <c r="O74" s="44">
        <f t="shared" si="1"/>
        <v>14989.349810330912</v>
      </c>
      <c r="Q74" s="62"/>
      <c r="R74" s="48"/>
      <c r="S74" s="59">
        <v>14</v>
      </c>
      <c r="T74" s="62">
        <v>40120.7768051893</v>
      </c>
      <c r="U74" s="61">
        <v>37211.348689734376</v>
      </c>
      <c r="V74" s="50">
        <v>37978.296234085625</v>
      </c>
      <c r="W74" s="50">
        <v>38747.57046048563</v>
      </c>
      <c r="X74" s="50">
        <v>39241.180560609624</v>
      </c>
      <c r="Y74" s="50">
        <v>40011.979985435624</v>
      </c>
      <c r="Z74" s="50">
        <v>40354.39062019401</v>
      </c>
      <c r="AA74" s="50">
        <v>40680.84589587263</v>
      </c>
      <c r="AB74" s="50">
        <v>41031.06401051062</v>
      </c>
      <c r="AC74" s="50">
        <v>41412.74474123563</v>
      </c>
      <c r="AD74" s="50">
        <v>42025.75561993563</v>
      </c>
      <c r="AE74" s="50">
        <v>44684.86946126668</v>
      </c>
      <c r="AF74" s="44">
        <f t="shared" si="2"/>
        <v>0</v>
      </c>
      <c r="AG74" s="44">
        <f>43574.9539026804*(1.069683/1.057703)</f>
        <v>44068.50260941005</v>
      </c>
    </row>
    <row r="75" spans="1:33" s="44" customFormat="1" ht="15">
      <c r="A75" s="59">
        <v>15</v>
      </c>
      <c r="B75" s="62">
        <v>44261.49295556914</v>
      </c>
      <c r="C75" s="61">
        <v>37978.296234085625</v>
      </c>
      <c r="D75" s="50">
        <v>41876.128311185625</v>
      </c>
      <c r="E75" s="50">
        <v>42910.246387510146</v>
      </c>
      <c r="F75" s="50">
        <v>43381.15301408563</v>
      </c>
      <c r="G75" s="50">
        <v>43660.0544974118</v>
      </c>
      <c r="H75" s="50">
        <v>43990.51135908563</v>
      </c>
      <c r="I75" s="50">
        <v>44484.14586408562</v>
      </c>
      <c r="J75" s="50">
        <v>44998.86371279675</v>
      </c>
      <c r="K75" s="50">
        <v>45765.24493658563</v>
      </c>
      <c r="L75" s="50">
        <v>47357.35182908563</v>
      </c>
      <c r="M75" s="50">
        <v>52258.49555414985</v>
      </c>
      <c r="N75" s="44">
        <f t="shared" si="0"/>
        <v>0</v>
      </c>
      <c r="O75" s="44">
        <f t="shared" si="1"/>
        <v>14441.943011681216</v>
      </c>
      <c r="Q75" s="62"/>
      <c r="R75" s="48"/>
      <c r="S75" s="59">
        <v>15</v>
      </c>
      <c r="T75" s="62">
        <v>40356.36470936796</v>
      </c>
      <c r="U75" s="61">
        <v>37978.24108444313</v>
      </c>
      <c r="V75" s="50">
        <v>37978.296234085625</v>
      </c>
      <c r="W75" s="50">
        <v>39044.58292858563</v>
      </c>
      <c r="X75" s="50">
        <v>39359.749574085625</v>
      </c>
      <c r="Y75" s="50">
        <v>40093.330228585626</v>
      </c>
      <c r="Z75" s="50">
        <v>40582.08263408563</v>
      </c>
      <c r="AA75" s="50">
        <v>40914.78867408563</v>
      </c>
      <c r="AB75" s="50">
        <v>41109.23830345514</v>
      </c>
      <c r="AC75" s="50">
        <v>41560.04830451504</v>
      </c>
      <c r="AD75" s="50">
        <v>42061.17796408563</v>
      </c>
      <c r="AE75" s="50">
        <v>44656.94844507288</v>
      </c>
      <c r="AF75" s="44">
        <f t="shared" si="2"/>
        <v>0</v>
      </c>
      <c r="AG75" s="44">
        <f>42114.710006847*(1.069683/1.057703)</f>
        <v>42591.719361913645</v>
      </c>
    </row>
    <row r="76" spans="1:33" s="44" customFormat="1" ht="15">
      <c r="A76" s="59">
        <v>16</v>
      </c>
      <c r="B76" s="62">
        <v>44653.84821218412</v>
      </c>
      <c r="C76" s="61">
        <v>37967.311510210624</v>
      </c>
      <c r="D76" s="50">
        <v>42350.97180275425</v>
      </c>
      <c r="E76" s="50">
        <v>43203.95088408562</v>
      </c>
      <c r="F76" s="50">
        <v>43738.43194541722</v>
      </c>
      <c r="G76" s="50">
        <v>44044.92600192814</v>
      </c>
      <c r="H76" s="50">
        <v>44391.58222160397</v>
      </c>
      <c r="I76" s="50">
        <v>44887.37111908563</v>
      </c>
      <c r="J76" s="50">
        <v>45454.83381763563</v>
      </c>
      <c r="K76" s="50">
        <v>46202.35557848563</v>
      </c>
      <c r="L76" s="50">
        <v>47944.72535676313</v>
      </c>
      <c r="M76" s="50">
        <v>52522.42828397444</v>
      </c>
      <c r="N76" s="44">
        <f t="shared" si="0"/>
        <v>0</v>
      </c>
      <c r="O76" s="44">
        <f t="shared" si="1"/>
        <v>14719.974298938358</v>
      </c>
      <c r="Q76" s="62"/>
      <c r="R76" s="48"/>
      <c r="S76" s="59">
        <v>16</v>
      </c>
      <c r="T76" s="62">
        <v>40479.904210668916</v>
      </c>
      <c r="U76" s="61">
        <v>37342.57229155438</v>
      </c>
      <c r="V76" s="50">
        <v>38230.628450835626</v>
      </c>
      <c r="W76" s="50">
        <v>39044.04047308563</v>
      </c>
      <c r="X76" s="50">
        <v>39268.36742322396</v>
      </c>
      <c r="Y76" s="50">
        <v>40111.140850835625</v>
      </c>
      <c r="Z76" s="50">
        <v>40753.86020908563</v>
      </c>
      <c r="AA76" s="50">
        <v>40970.84240908563</v>
      </c>
      <c r="AB76" s="50">
        <v>41264.265629960624</v>
      </c>
      <c r="AC76" s="50">
        <v>41968.88361484136</v>
      </c>
      <c r="AD76" s="50">
        <v>42736.173424585635</v>
      </c>
      <c r="AE76" s="50">
        <v>45763.42545042938</v>
      </c>
      <c r="AF76" s="44">
        <f t="shared" si="2"/>
        <v>0</v>
      </c>
      <c r="AG76" s="44">
        <f>48807.6232923948*(1.069683/1.057703)</f>
        <v>49360.43946767545</v>
      </c>
    </row>
    <row r="77" spans="1:33" s="44" customFormat="1" ht="15">
      <c r="A77" s="59">
        <v>17</v>
      </c>
      <c r="B77" s="62">
        <v>44696.923768852306</v>
      </c>
      <c r="C77" s="61">
        <v>36840.22459508562</v>
      </c>
      <c r="D77" s="50">
        <v>42318.767416402196</v>
      </c>
      <c r="E77" s="50">
        <v>43395.77766897256</v>
      </c>
      <c r="F77" s="50">
        <v>43876.59570408563</v>
      </c>
      <c r="G77" s="50">
        <v>44205.81576780448</v>
      </c>
      <c r="H77" s="50">
        <v>44605.29425908562</v>
      </c>
      <c r="I77" s="50">
        <v>45003.23956719119</v>
      </c>
      <c r="J77" s="50">
        <v>45648.16495783563</v>
      </c>
      <c r="K77" s="50">
        <v>46716.89270208563</v>
      </c>
      <c r="L77" s="50">
        <v>47993.41706653563</v>
      </c>
      <c r="M77" s="50">
        <v>51623.99496117254</v>
      </c>
      <c r="N77" s="44">
        <f t="shared" si="0"/>
        <v>0</v>
      </c>
      <c r="O77" s="44">
        <f t="shared" si="1"/>
        <v>14951.21772038743</v>
      </c>
      <c r="Q77" s="62"/>
      <c r="R77" s="48"/>
      <c r="S77" s="59">
        <v>17</v>
      </c>
      <c r="T77" s="62">
        <v>40716.414365575285</v>
      </c>
      <c r="U77" s="61">
        <v>37017.098991554376</v>
      </c>
      <c r="V77" s="50">
        <v>37978.296234085625</v>
      </c>
      <c r="W77" s="50">
        <v>39044.944565585625</v>
      </c>
      <c r="X77" s="50">
        <v>39664.4402289626</v>
      </c>
      <c r="Y77" s="50">
        <v>40270.08031233562</v>
      </c>
      <c r="Z77" s="50">
        <v>40796.84980746062</v>
      </c>
      <c r="AA77" s="50">
        <v>41132.49414808563</v>
      </c>
      <c r="AB77" s="50">
        <v>41614.17102834897</v>
      </c>
      <c r="AC77" s="50">
        <v>42209.442253339614</v>
      </c>
      <c r="AD77" s="50">
        <v>43041.21423408563</v>
      </c>
      <c r="AE77" s="50">
        <v>46665.60805502313</v>
      </c>
      <c r="AF77" s="44">
        <f t="shared" si="2"/>
        <v>0</v>
      </c>
      <c r="AG77" s="44">
        <f>48807.6232923948*(1.069683/1.057703)</f>
        <v>49360.43946767545</v>
      </c>
    </row>
    <row r="78" spans="1:33" s="44" customFormat="1" ht="15">
      <c r="A78" s="59">
        <v>18</v>
      </c>
      <c r="B78" s="62">
        <v>44882.00045207276</v>
      </c>
      <c r="C78" s="61">
        <v>37893.13072058563</v>
      </c>
      <c r="D78" s="50">
        <v>42565.32706486063</v>
      </c>
      <c r="E78" s="50">
        <v>43438.779870035636</v>
      </c>
      <c r="F78" s="50">
        <v>43965.59456978563</v>
      </c>
      <c r="G78" s="50">
        <v>44260.71200630702</v>
      </c>
      <c r="H78" s="50">
        <v>44665.371205710624</v>
      </c>
      <c r="I78" s="50">
        <v>45153.17431408563</v>
      </c>
      <c r="J78" s="50">
        <v>45730.21135221062</v>
      </c>
      <c r="K78" s="50">
        <v>46657.58423408563</v>
      </c>
      <c r="L78" s="50">
        <v>47928.56651151063</v>
      </c>
      <c r="M78" s="50">
        <v>52435.453289382276</v>
      </c>
      <c r="N78" s="44">
        <f t="shared" si="0"/>
        <v>0</v>
      </c>
      <c r="O78" s="44">
        <f t="shared" si="1"/>
        <v>14707.035181292009</v>
      </c>
      <c r="Q78" s="62"/>
      <c r="R78" s="48"/>
      <c r="S78" s="59">
        <v>18</v>
      </c>
      <c r="T78" s="62">
        <v>40629.07540312287</v>
      </c>
      <c r="U78" s="61">
        <v>37017.844415820626</v>
      </c>
      <c r="V78" s="50">
        <v>37978.296234085625</v>
      </c>
      <c r="W78" s="50">
        <v>38999.504876535626</v>
      </c>
      <c r="X78" s="50">
        <v>39593.02381088879</v>
      </c>
      <c r="Y78" s="50">
        <v>40185.71040023563</v>
      </c>
      <c r="Z78" s="50">
        <v>40789.48145358562</v>
      </c>
      <c r="AA78" s="50">
        <v>41151.20800598592</v>
      </c>
      <c r="AB78" s="50">
        <v>41701.85544088563</v>
      </c>
      <c r="AC78" s="50">
        <v>42209.37130208882</v>
      </c>
      <c r="AD78" s="50">
        <v>43032.824255685635</v>
      </c>
      <c r="AE78" s="50">
        <v>46662.43378625563</v>
      </c>
      <c r="AF78" s="44">
        <f t="shared" si="2"/>
        <v>0</v>
      </c>
      <c r="AG78" s="44">
        <f>48807.6232923948*(1.069683/1.057703)</f>
        <v>49360.43946767545</v>
      </c>
    </row>
    <row r="79" spans="1:33" s="44" customFormat="1" ht="15">
      <c r="A79" s="59">
        <v>19</v>
      </c>
      <c r="B79" s="62">
        <v>45299.30963941388</v>
      </c>
      <c r="C79" s="61">
        <v>37850.095917585626</v>
      </c>
      <c r="D79" s="50">
        <v>43114.65567620935</v>
      </c>
      <c r="E79" s="50">
        <v>43836.81563408563</v>
      </c>
      <c r="F79" s="50">
        <v>44213.5804554152</v>
      </c>
      <c r="G79" s="50">
        <v>44549.20620148549</v>
      </c>
      <c r="H79" s="50">
        <v>44996.67578559953</v>
      </c>
      <c r="I79" s="50">
        <v>45239.0839022091</v>
      </c>
      <c r="J79" s="50">
        <v>45807.737284085626</v>
      </c>
      <c r="K79" s="50">
        <v>46647.892362485625</v>
      </c>
      <c r="L79" s="50">
        <v>48546.79332425903</v>
      </c>
      <c r="M79" s="50">
        <v>54989.5414745979</v>
      </c>
      <c r="N79" s="44">
        <f t="shared" si="0"/>
        <v>0</v>
      </c>
      <c r="O79" s="44">
        <f t="shared" si="1"/>
        <v>17333.57430371433</v>
      </c>
      <c r="Q79" s="62"/>
      <c r="R79" s="48"/>
      <c r="S79" s="59">
        <v>19</v>
      </c>
      <c r="T79" s="62">
        <v>40857.553843284964</v>
      </c>
      <c r="U79" s="61">
        <v>37377.31566223688</v>
      </c>
      <c r="V79" s="50">
        <v>37998.85961771329</v>
      </c>
      <c r="W79" s="50">
        <v>39192.49246158562</v>
      </c>
      <c r="X79" s="50">
        <v>39879.91015303563</v>
      </c>
      <c r="Y79" s="50">
        <v>40347.75913879629</v>
      </c>
      <c r="Z79" s="50">
        <v>40930.17116097931</v>
      </c>
      <c r="AA79" s="50">
        <v>41307.70727458563</v>
      </c>
      <c r="AB79" s="50">
        <v>42008.43320763562</v>
      </c>
      <c r="AC79" s="50">
        <v>42268.41244465696</v>
      </c>
      <c r="AD79" s="50">
        <v>43049.21545271062</v>
      </c>
      <c r="AE79" s="50">
        <v>45894.255319965625</v>
      </c>
      <c r="AF79" s="44">
        <f t="shared" si="2"/>
        <v>0</v>
      </c>
      <c r="AG79" s="44">
        <f>48651.2963073948*(1.069683/1.057703)</f>
        <v>49202.34185587351</v>
      </c>
    </row>
    <row r="80" spans="1:33" s="44" customFormat="1" ht="15">
      <c r="A80" s="59">
        <v>20</v>
      </c>
      <c r="B80" s="62">
        <v>45732.93723119914</v>
      </c>
      <c r="C80" s="61">
        <v>39733.36579971062</v>
      </c>
      <c r="D80" s="50">
        <v>43529.42418408562</v>
      </c>
      <c r="E80" s="50">
        <v>43962.66531008563</v>
      </c>
      <c r="F80" s="50">
        <v>44444.094566335625</v>
      </c>
      <c r="G80" s="50">
        <v>44840.35830908563</v>
      </c>
      <c r="H80" s="50">
        <v>45179.39299658562</v>
      </c>
      <c r="I80" s="50">
        <v>45608.83693408562</v>
      </c>
      <c r="J80" s="50">
        <v>46045.86549480856</v>
      </c>
      <c r="K80" s="50">
        <v>46895.36056158562</v>
      </c>
      <c r="L80" s="50">
        <v>48666.738573765295</v>
      </c>
      <c r="M80" s="50">
        <v>55055.466506783705</v>
      </c>
      <c r="N80" s="44">
        <f t="shared" si="0"/>
        <v>0</v>
      </c>
      <c r="O80" s="44">
        <f t="shared" si="1"/>
        <v>15495.64542281156</v>
      </c>
      <c r="Q80" s="62"/>
      <c r="R80" s="48"/>
      <c r="S80" s="59">
        <v>20</v>
      </c>
      <c r="T80" s="62">
        <v>41183.089939043384</v>
      </c>
      <c r="U80" s="61">
        <v>35944.08810908562</v>
      </c>
      <c r="V80" s="50">
        <v>38393.251488418624</v>
      </c>
      <c r="W80" s="50">
        <v>39239.541435285624</v>
      </c>
      <c r="X80" s="50">
        <v>40185.23712361747</v>
      </c>
      <c r="Y80" s="50">
        <v>40925.02300118563</v>
      </c>
      <c r="Z80" s="50">
        <v>41487.89290983563</v>
      </c>
      <c r="AA80" s="50">
        <v>42055.310003190956</v>
      </c>
      <c r="AB80" s="50">
        <v>42266.328311159625</v>
      </c>
      <c r="AC80" s="50">
        <v>43036.33213458562</v>
      </c>
      <c r="AD80" s="50">
        <v>43465.389854452354</v>
      </c>
      <c r="AE80" s="50">
        <v>46401.288927861875</v>
      </c>
      <c r="AF80" s="44">
        <f t="shared" si="2"/>
        <v>0</v>
      </c>
      <c r="AG80" s="44">
        <f>48651.2963073948*(1.069683/1.057703)</f>
        <v>49202.34185587351</v>
      </c>
    </row>
    <row r="81" spans="1:33" s="44" customFormat="1" ht="15">
      <c r="A81" s="59">
        <v>21</v>
      </c>
      <c r="B81" s="62">
        <v>45878.03071850357</v>
      </c>
      <c r="C81" s="61">
        <v>39145.13112392687</v>
      </c>
      <c r="D81" s="50">
        <v>43655.997134085635</v>
      </c>
      <c r="E81" s="50">
        <v>44242.72185904012</v>
      </c>
      <c r="F81" s="50">
        <v>44601.67788908562</v>
      </c>
      <c r="G81" s="50">
        <v>44984.886357232994</v>
      </c>
      <c r="H81" s="50">
        <v>45222.337390335626</v>
      </c>
      <c r="I81" s="50">
        <v>45678.88005397513</v>
      </c>
      <c r="J81" s="50">
        <v>45987.248038619386</v>
      </c>
      <c r="K81" s="50">
        <v>46929.173621085625</v>
      </c>
      <c r="L81" s="50">
        <v>48572.08056125824</v>
      </c>
      <c r="M81" s="50">
        <v>58249.07622772521</v>
      </c>
      <c r="N81" s="44">
        <f t="shared" si="0"/>
        <v>0</v>
      </c>
      <c r="O81" s="44">
        <f t="shared" si="1"/>
        <v>19320.324618977458</v>
      </c>
      <c r="Q81" s="62"/>
      <c r="R81" s="48"/>
      <c r="S81" s="59">
        <v>21</v>
      </c>
      <c r="T81" s="62">
        <v>41362.62437103189</v>
      </c>
      <c r="U81" s="61">
        <v>35944.08810908562</v>
      </c>
      <c r="V81" s="50">
        <v>38138.29348381062</v>
      </c>
      <c r="W81" s="50">
        <v>39224.09953538563</v>
      </c>
      <c r="X81" s="50">
        <v>40192.424444033604</v>
      </c>
      <c r="Y81" s="50">
        <v>41137.91870308563</v>
      </c>
      <c r="Z81" s="50">
        <v>41706.27645321062</v>
      </c>
      <c r="AA81" s="50">
        <v>42178.24850134096</v>
      </c>
      <c r="AB81" s="50">
        <v>42906.50445158562</v>
      </c>
      <c r="AC81" s="50">
        <v>43175.019924085624</v>
      </c>
      <c r="AD81" s="50">
        <v>43705.65893511063</v>
      </c>
      <c r="AE81" s="50">
        <v>46359.40865098437</v>
      </c>
      <c r="AF81" s="44">
        <f t="shared" si="2"/>
        <v>0</v>
      </c>
      <c r="AG81" s="44">
        <f>48651.2963073948*(1.069683/1.057703)</f>
        <v>49202.34185587351</v>
      </c>
    </row>
    <row r="82" spans="1:33" s="44" customFormat="1" ht="15">
      <c r="A82" s="59">
        <v>22</v>
      </c>
      <c r="B82" s="62">
        <v>45770.97466918587</v>
      </c>
      <c r="C82" s="61">
        <v>39066.68844225687</v>
      </c>
      <c r="D82" s="50">
        <v>42998.08110823821</v>
      </c>
      <c r="E82" s="50">
        <v>43943.49854908563</v>
      </c>
      <c r="F82" s="50">
        <v>44454.31081158563</v>
      </c>
      <c r="G82" s="50">
        <v>44989.02156218483</v>
      </c>
      <c r="H82" s="50">
        <v>45280.10890108562</v>
      </c>
      <c r="I82" s="50">
        <v>45776.636502085625</v>
      </c>
      <c r="J82" s="50">
        <v>46246.64707006062</v>
      </c>
      <c r="K82" s="50">
        <v>47289.93834923105</v>
      </c>
      <c r="L82" s="50">
        <v>48689.95705131062</v>
      </c>
      <c r="M82" s="50">
        <v>60609.95905551578</v>
      </c>
      <c r="N82" s="44">
        <f t="shared" si="0"/>
        <v>0</v>
      </c>
      <c r="O82" s="44">
        <f t="shared" si="1"/>
        <v>21787.278980396786</v>
      </c>
      <c r="Q82" s="62"/>
      <c r="R82" s="48"/>
      <c r="S82" s="59">
        <v>22</v>
      </c>
      <c r="T82" s="62">
        <v>41454.62101724685</v>
      </c>
      <c r="U82" s="61">
        <v>35944.08810908562</v>
      </c>
      <c r="V82" s="50">
        <v>37996.124938185625</v>
      </c>
      <c r="W82" s="50">
        <v>39132.04156701188</v>
      </c>
      <c r="X82" s="50">
        <v>39826.98270425927</v>
      </c>
      <c r="Y82" s="50">
        <v>40986.48320933563</v>
      </c>
      <c r="Z82" s="50">
        <v>41504.25698408563</v>
      </c>
      <c r="AA82" s="50">
        <v>42256.48002593562</v>
      </c>
      <c r="AB82" s="50">
        <v>42863.10801158563</v>
      </c>
      <c r="AC82" s="50">
        <v>43279.13521638563</v>
      </c>
      <c r="AD82" s="50">
        <v>43875.97971473317</v>
      </c>
      <c r="AE82" s="50">
        <v>47074.86451109063</v>
      </c>
      <c r="AF82" s="44">
        <f t="shared" si="2"/>
        <v>0</v>
      </c>
      <c r="AG82" s="44">
        <f>47510.6064757092*(1.069683/1.057703)</f>
        <v>48048.7320795687</v>
      </c>
    </row>
    <row r="83" spans="1:33" s="44" customFormat="1" ht="15">
      <c r="A83" s="59">
        <v>23</v>
      </c>
      <c r="B83" s="62">
        <v>45669.74916198776</v>
      </c>
      <c r="C83" s="61">
        <v>38759.884200335626</v>
      </c>
      <c r="D83" s="50">
        <v>43211.38252443563</v>
      </c>
      <c r="E83" s="50">
        <v>44019.442319085625</v>
      </c>
      <c r="F83" s="50">
        <v>44613.431091585626</v>
      </c>
      <c r="G83" s="50">
        <v>45068.189619085635</v>
      </c>
      <c r="H83" s="50">
        <v>45369.252421585625</v>
      </c>
      <c r="I83" s="50">
        <v>45783.14596808563</v>
      </c>
      <c r="J83" s="50">
        <v>46361.945986585626</v>
      </c>
      <c r="K83" s="50">
        <v>47053.57674908563</v>
      </c>
      <c r="L83" s="50">
        <v>48259.405058042634</v>
      </c>
      <c r="M83" s="50">
        <v>60319.35963131844</v>
      </c>
      <c r="N83" s="44">
        <f t="shared" si="0"/>
        <v>0</v>
      </c>
      <c r="O83" s="44">
        <f t="shared" si="1"/>
        <v>21803.667340869775</v>
      </c>
      <c r="Q83" s="62"/>
      <c r="R83" s="48"/>
      <c r="S83" s="59">
        <v>23</v>
      </c>
      <c r="T83" s="62">
        <v>41444.781558371535</v>
      </c>
      <c r="U83" s="61">
        <v>37123.989847829376</v>
      </c>
      <c r="V83" s="50">
        <v>38127.12303455344</v>
      </c>
      <c r="W83" s="50">
        <v>39067.31681579063</v>
      </c>
      <c r="X83" s="50">
        <v>40123.00254443562</v>
      </c>
      <c r="Y83" s="50">
        <v>40984.76543358563</v>
      </c>
      <c r="Z83" s="50">
        <v>41450.06559703356</v>
      </c>
      <c r="AA83" s="50">
        <v>42258.884911985624</v>
      </c>
      <c r="AB83" s="50">
        <v>42838.42628633563</v>
      </c>
      <c r="AC83" s="50">
        <v>43277.65250468563</v>
      </c>
      <c r="AD83" s="50">
        <v>44164.07980617874</v>
      </c>
      <c r="AE83" s="50">
        <v>46442.07841713812</v>
      </c>
      <c r="AF83" s="44">
        <f t="shared" si="2"/>
        <v>0</v>
      </c>
      <c r="AG83" s="44">
        <f>47510.6064757092*(1.069683/1.057703)</f>
        <v>48048.7320795687</v>
      </c>
    </row>
    <row r="84" spans="1:33" s="44" customFormat="1" ht="15">
      <c r="A84" s="59">
        <v>24</v>
      </c>
      <c r="B84" s="62">
        <v>45872.61351583748</v>
      </c>
      <c r="C84" s="61">
        <v>40971.209922686874</v>
      </c>
      <c r="D84" s="50">
        <v>43590.17920008562</v>
      </c>
      <c r="E84" s="50">
        <v>44126.12523408562</v>
      </c>
      <c r="F84" s="50">
        <v>44941.61666908562</v>
      </c>
      <c r="G84" s="50">
        <v>45161.853602085626</v>
      </c>
      <c r="H84" s="50">
        <v>45606.64162614755</v>
      </c>
      <c r="I84" s="50">
        <v>45957.81663908562</v>
      </c>
      <c r="J84" s="50">
        <v>46437.34730108562</v>
      </c>
      <c r="K84" s="50">
        <v>47528.16075938113</v>
      </c>
      <c r="L84" s="50">
        <v>48712.58648658562</v>
      </c>
      <c r="M84" s="50">
        <v>55522.51863859527</v>
      </c>
      <c r="N84" s="44">
        <f t="shared" si="0"/>
        <v>0</v>
      </c>
      <c r="O84" s="44">
        <f t="shared" si="1"/>
        <v>14716.123109378565</v>
      </c>
      <c r="Q84" s="62"/>
      <c r="R84" s="48"/>
      <c r="S84" s="59">
        <v>24</v>
      </c>
      <c r="T84" s="62">
        <v>41757.37772535164</v>
      </c>
      <c r="U84" s="61">
        <v>37212.28713774937</v>
      </c>
      <c r="V84" s="50">
        <v>38499.62309236063</v>
      </c>
      <c r="W84" s="50">
        <v>39901.915764485624</v>
      </c>
      <c r="X84" s="50">
        <v>40728.31055503563</v>
      </c>
      <c r="Y84" s="50">
        <v>41450.01143408563</v>
      </c>
      <c r="Z84" s="50">
        <v>42016.417318057494</v>
      </c>
      <c r="AA84" s="50">
        <v>42512.45103417963</v>
      </c>
      <c r="AB84" s="50">
        <v>42875.38558773562</v>
      </c>
      <c r="AC84" s="50">
        <v>43529.54720711437</v>
      </c>
      <c r="AD84" s="50">
        <v>44377.462949085624</v>
      </c>
      <c r="AE84" s="50">
        <v>47422.724045483126</v>
      </c>
      <c r="AF84" s="44">
        <f t="shared" si="2"/>
        <v>0</v>
      </c>
      <c r="AG84" s="44">
        <f>47510.6064757092*(1.069683/1.057703)</f>
        <v>48048.7320795687</v>
      </c>
    </row>
    <row r="85" spans="1:33" s="44" customFormat="1" ht="15">
      <c r="A85" s="59">
        <v>25</v>
      </c>
      <c r="B85" s="62">
        <v>46052.63628165528</v>
      </c>
      <c r="C85" s="61">
        <v>39885.117725835626</v>
      </c>
      <c r="D85" s="50">
        <v>43785.64399858562</v>
      </c>
      <c r="E85" s="50">
        <v>44386.503874085625</v>
      </c>
      <c r="F85" s="50">
        <v>44925.34300408563</v>
      </c>
      <c r="G85" s="50">
        <v>45176.68071908563</v>
      </c>
      <c r="H85" s="50">
        <v>45599.92585570949</v>
      </c>
      <c r="I85" s="50">
        <v>46259.331487835625</v>
      </c>
      <c r="J85" s="50">
        <v>46552.85415888563</v>
      </c>
      <c r="K85" s="50">
        <v>47571.692068661236</v>
      </c>
      <c r="L85" s="50">
        <v>49184.91764135471</v>
      </c>
      <c r="M85" s="50">
        <v>55233.97086370537</v>
      </c>
      <c r="N85" s="44">
        <f t="shared" si="0"/>
        <v>0</v>
      </c>
      <c r="O85" s="44">
        <f t="shared" si="1"/>
        <v>15522.700863168506</v>
      </c>
      <c r="Q85" s="62"/>
      <c r="R85" s="48"/>
      <c r="S85" s="59">
        <v>25</v>
      </c>
      <c r="T85" s="62">
        <v>41865.0365879045</v>
      </c>
      <c r="U85" s="61">
        <v>37176.704769226875</v>
      </c>
      <c r="V85" s="50">
        <v>38656.79957348563</v>
      </c>
      <c r="W85" s="50">
        <v>40254.33102098563</v>
      </c>
      <c r="X85" s="50">
        <v>41298.127954448886</v>
      </c>
      <c r="Y85" s="50">
        <v>41536.22569488563</v>
      </c>
      <c r="Z85" s="50">
        <v>42072.795552710624</v>
      </c>
      <c r="AA85" s="50">
        <v>42516.044982685635</v>
      </c>
      <c r="AB85" s="50">
        <v>43032.17330908563</v>
      </c>
      <c r="AC85" s="50">
        <v>43528.33197623833</v>
      </c>
      <c r="AD85" s="50">
        <v>44365.70974658563</v>
      </c>
      <c r="AE85" s="50">
        <v>46767.70270058562</v>
      </c>
      <c r="AF85" s="44">
        <f t="shared" si="2"/>
        <v>0</v>
      </c>
      <c r="AG85" s="44">
        <f>45731.6767628858*(1.069683/1.057703)</f>
        <v>46249.65344217987</v>
      </c>
    </row>
    <row r="86" spans="1:33" s="44" customFormat="1" ht="15">
      <c r="A86" s="59">
        <v>26</v>
      </c>
      <c r="B86" s="62">
        <v>46529.723419097325</v>
      </c>
      <c r="C86" s="61">
        <v>42006.25434471063</v>
      </c>
      <c r="D86" s="50">
        <v>44314.501947385615</v>
      </c>
      <c r="E86" s="50">
        <v>45001.28677408562</v>
      </c>
      <c r="F86" s="50">
        <v>45254.432674085634</v>
      </c>
      <c r="G86" s="50">
        <v>45712.20074085306</v>
      </c>
      <c r="H86" s="50">
        <v>46241.88250258562</v>
      </c>
      <c r="I86" s="50">
        <v>46657.58423408563</v>
      </c>
      <c r="J86" s="50">
        <v>47308.71165258562</v>
      </c>
      <c r="K86" s="50">
        <v>48138.64840784987</v>
      </c>
      <c r="L86" s="50">
        <v>49852.50064253348</v>
      </c>
      <c r="M86" s="50">
        <v>56592.17660376008</v>
      </c>
      <c r="N86" s="44">
        <f t="shared" si="0"/>
        <v>0</v>
      </c>
      <c r="O86" s="44">
        <f t="shared" si="1"/>
        <v>14751.128700426107</v>
      </c>
      <c r="Q86" s="62"/>
      <c r="R86" s="48"/>
      <c r="S86" s="59">
        <v>26</v>
      </c>
      <c r="T86" s="62">
        <v>42076.86218408622</v>
      </c>
      <c r="U86" s="61">
        <v>36114.87434665937</v>
      </c>
      <c r="V86" s="50">
        <v>38994.53236778563</v>
      </c>
      <c r="W86" s="50">
        <v>40654.48236148563</v>
      </c>
      <c r="X86" s="50">
        <v>41450.01143408563</v>
      </c>
      <c r="Y86" s="50">
        <v>41714.82563795112</v>
      </c>
      <c r="Z86" s="50">
        <v>42161.80345933563</v>
      </c>
      <c r="AA86" s="50">
        <v>42538.53880408563</v>
      </c>
      <c r="AB86" s="50">
        <v>43030.36512408563</v>
      </c>
      <c r="AC86" s="50">
        <v>43727.52893268563</v>
      </c>
      <c r="AD86" s="50">
        <v>44693.11780453563</v>
      </c>
      <c r="AE86" s="50">
        <v>47921.482946773125</v>
      </c>
      <c r="AF86" s="44">
        <f t="shared" si="2"/>
        <v>0</v>
      </c>
      <c r="AG86" s="44">
        <f>48672.0035834611*(1.069683/1.057703)</f>
        <v>49223.28367147239</v>
      </c>
    </row>
    <row r="87" spans="1:33" s="44" customFormat="1" ht="15">
      <c r="A87" s="59">
        <v>40</v>
      </c>
      <c r="B87" s="62">
        <v>46529.723419097325</v>
      </c>
      <c r="C87" s="61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44">
        <f t="shared" si="0"/>
        <v>0</v>
      </c>
      <c r="O87" s="44">
        <f t="shared" si="1"/>
        <v>0</v>
      </c>
      <c r="Q87" s="62"/>
      <c r="R87" s="48"/>
      <c r="S87" s="59">
        <v>40</v>
      </c>
      <c r="T87" s="62">
        <v>42076.86218408622</v>
      </c>
      <c r="U87" s="61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44">
        <f t="shared" si="2"/>
        <v>0</v>
      </c>
      <c r="AG87" s="44">
        <f>48672.0035834611*(1.069683/1.057703)</f>
        <v>49223.28367147239</v>
      </c>
    </row>
    <row r="88" spans="1:33" s="44" customFormat="1" ht="15">
      <c r="A88" s="59" t="s">
        <v>8</v>
      </c>
      <c r="B88" s="60">
        <v>38640.4406499949</v>
      </c>
      <c r="C88" s="61" t="s">
        <v>29</v>
      </c>
      <c r="D88" s="50" t="s">
        <v>29</v>
      </c>
      <c r="E88" s="50" t="s">
        <v>29</v>
      </c>
      <c r="F88" s="50" t="s">
        <v>29</v>
      </c>
      <c r="G88" s="50" t="s">
        <v>29</v>
      </c>
      <c r="H88" s="50" t="s">
        <v>29</v>
      </c>
      <c r="I88" s="50" t="s">
        <v>29</v>
      </c>
      <c r="J88" s="50" t="s">
        <v>29</v>
      </c>
      <c r="K88" s="50" t="s">
        <v>29</v>
      </c>
      <c r="L88" s="50" t="s">
        <v>29</v>
      </c>
      <c r="M88" s="50" t="s">
        <v>29</v>
      </c>
      <c r="N88" s="44">
        <f t="shared" si="0"/>
        <v>0</v>
      </c>
      <c r="O88" s="44" t="e">
        <f t="shared" si="1"/>
        <v>#VALUE!</v>
      </c>
      <c r="S88" s="59" t="s">
        <v>8</v>
      </c>
      <c r="T88" s="60" t="e">
        <v>#DIV/0!</v>
      </c>
      <c r="U88" s="61" t="s">
        <v>29</v>
      </c>
      <c r="V88" s="50" t="s">
        <v>29</v>
      </c>
      <c r="W88" s="50" t="s">
        <v>29</v>
      </c>
      <c r="X88" s="50" t="s">
        <v>29</v>
      </c>
      <c r="Y88" s="50" t="s">
        <v>29</v>
      </c>
      <c r="Z88" s="50" t="s">
        <v>29</v>
      </c>
      <c r="AA88" s="50" t="s">
        <v>29</v>
      </c>
      <c r="AB88" s="50" t="s">
        <v>29</v>
      </c>
      <c r="AC88" s="50" t="s">
        <v>29</v>
      </c>
      <c r="AD88" s="50" t="s">
        <v>29</v>
      </c>
      <c r="AE88" s="50" t="s">
        <v>29</v>
      </c>
      <c r="AF88" s="44">
        <f t="shared" si="2"/>
        <v>0</v>
      </c>
      <c r="AG88" s="44" t="e">
        <f>(AE88-U88)*(1.069683/1.057703)</f>
        <v>#VALUE!</v>
      </c>
    </row>
    <row r="89" spans="1:33" s="44" customFormat="1" ht="15">
      <c r="A89" s="57" t="s">
        <v>9</v>
      </c>
      <c r="B89" s="58">
        <v>42123.01092732539</v>
      </c>
      <c r="C89" s="50">
        <v>29223.884853101288</v>
      </c>
      <c r="D89" s="50">
        <v>35944.08810908562</v>
      </c>
      <c r="E89" s="50">
        <v>39397.721459085624</v>
      </c>
      <c r="F89" s="50">
        <v>40817.14668408564</v>
      </c>
      <c r="G89" s="50">
        <v>41947.820026737376</v>
      </c>
      <c r="H89" s="50">
        <v>42946.26372745812</v>
      </c>
      <c r="I89" s="50">
        <v>43882.02025908563</v>
      </c>
      <c r="J89" s="50">
        <v>44831.317384085625</v>
      </c>
      <c r="K89" s="50">
        <v>45709.64324783563</v>
      </c>
      <c r="L89" s="50">
        <v>47086.82927123563</v>
      </c>
      <c r="M89" s="50">
        <v>53723.64622772032</v>
      </c>
      <c r="N89" s="44">
        <f t="shared" si="0"/>
        <v>0</v>
      </c>
      <c r="O89" s="44">
        <f t="shared" si="1"/>
        <v>24777.25623023344</v>
      </c>
      <c r="S89" s="57" t="s">
        <v>9</v>
      </c>
      <c r="T89" s="58">
        <v>38871.20177662412</v>
      </c>
      <c r="U89" s="50">
        <v>29223.884853101288</v>
      </c>
      <c r="V89" s="50">
        <v>34142.416108791665</v>
      </c>
      <c r="W89" s="50">
        <v>36149.72194536229</v>
      </c>
      <c r="X89" s="50">
        <v>37978.296234085625</v>
      </c>
      <c r="Y89" s="50">
        <v>38766.664894085625</v>
      </c>
      <c r="Z89" s="50">
        <v>39366.30424471063</v>
      </c>
      <c r="AA89" s="50">
        <v>40232.433900635624</v>
      </c>
      <c r="AB89" s="50">
        <v>41044.68868448563</v>
      </c>
      <c r="AC89" s="50">
        <v>41795.437654990965</v>
      </c>
      <c r="AD89" s="50">
        <v>42947.491284788295</v>
      </c>
      <c r="AE89" s="50">
        <v>46982.85863373562</v>
      </c>
      <c r="AF89" s="44">
        <f t="shared" si="2"/>
        <v>0</v>
      </c>
      <c r="AG89" s="44">
        <f>(AE89-U89)*(1.069683/1.057703)</f>
        <v>17960.11957098568</v>
      </c>
    </row>
    <row r="90" spans="3:32" s="44" customFormat="1" ht="15">
      <c r="C90" s="56">
        <v>0</v>
      </c>
      <c r="D90" s="56">
        <v>1</v>
      </c>
      <c r="E90" s="56">
        <v>2</v>
      </c>
      <c r="F90" s="56">
        <v>3</v>
      </c>
      <c r="G90" s="56">
        <v>4</v>
      </c>
      <c r="H90" s="56">
        <v>5</v>
      </c>
      <c r="I90" s="56">
        <v>6</v>
      </c>
      <c r="J90" s="56">
        <v>7</v>
      </c>
      <c r="K90" s="56">
        <v>8</v>
      </c>
      <c r="L90" s="56">
        <v>9</v>
      </c>
      <c r="M90" s="56">
        <v>10</v>
      </c>
      <c r="N90" s="56"/>
      <c r="U90" s="56">
        <v>0</v>
      </c>
      <c r="V90" s="56">
        <v>1</v>
      </c>
      <c r="W90" s="56">
        <v>2</v>
      </c>
      <c r="X90" s="56">
        <v>3</v>
      </c>
      <c r="Y90" s="56">
        <v>4</v>
      </c>
      <c r="Z90" s="56">
        <v>5</v>
      </c>
      <c r="AA90" s="56">
        <v>6</v>
      </c>
      <c r="AB90" s="56">
        <v>7</v>
      </c>
      <c r="AC90" s="56">
        <v>8</v>
      </c>
      <c r="AD90" s="56">
        <v>9</v>
      </c>
      <c r="AE90" s="56">
        <v>10</v>
      </c>
      <c r="AF90" s="56"/>
    </row>
    <row r="91" s="44" customFormat="1" ht="15"/>
    <row r="92" s="44" customFormat="1" ht="15"/>
    <row r="93" s="44" customFormat="1" ht="15"/>
    <row r="94" s="44" customFormat="1" ht="15"/>
    <row r="95" spans="8:26" s="44" customFormat="1" ht="15">
      <c r="H95" s="44" t="s">
        <v>10</v>
      </c>
      <c r="Z95" s="44" t="s">
        <v>10</v>
      </c>
    </row>
    <row r="96" spans="3:31" s="44" customFormat="1" ht="15">
      <c r="C96" s="48">
        <f>VLOOKUP('Tjek din løn'!$A56,'Tjek din løn'!$A60:$L86,'Tjek din løn'!C90+3)</f>
        <v>42006.25434471063</v>
      </c>
      <c r="D96" s="48">
        <f>VLOOKUP('Tjek din løn'!$A56,'Tjek din løn'!$A60:$L86,'Tjek din løn'!D90+3)</f>
        <v>44314.501947385615</v>
      </c>
      <c r="E96" s="48">
        <f>VLOOKUP('Tjek din løn'!$A56,'Tjek din løn'!$A60:$L86,'Tjek din løn'!E90+3)</f>
        <v>45001.28677408562</v>
      </c>
      <c r="F96" s="48">
        <f>VLOOKUP('Tjek din løn'!$A56,'Tjek din løn'!$A60:$L86,'Tjek din løn'!F90+3)</f>
        <v>45254.432674085634</v>
      </c>
      <c r="G96" s="48">
        <f>VLOOKUP('Tjek din løn'!$A56,'Tjek din løn'!$A60:$L86,'Tjek din løn'!G90+3)</f>
        <v>45712.20074085306</v>
      </c>
      <c r="H96" s="48">
        <f>VLOOKUP('Tjek din løn'!$A56,'Tjek din løn'!$A60:$L86,'Tjek din løn'!H90+3)</f>
        <v>46241.88250258562</v>
      </c>
      <c r="I96" s="48">
        <f>VLOOKUP('Tjek din løn'!$A56,'Tjek din løn'!$A60:$L86,'Tjek din løn'!I90+3)</f>
        <v>46657.58423408563</v>
      </c>
      <c r="J96" s="48">
        <f>VLOOKUP('Tjek din løn'!$A56,'Tjek din løn'!$A60:$L86,'Tjek din løn'!J90+3)</f>
        <v>47308.71165258562</v>
      </c>
      <c r="K96" s="48">
        <f>VLOOKUP('Tjek din løn'!$A56,'Tjek din løn'!$A60:$L86,'Tjek din løn'!K90+3)</f>
        <v>48138.64840784987</v>
      </c>
      <c r="L96" s="48">
        <f>VLOOKUP('Tjek din løn'!$A56,'Tjek din løn'!$A60:$L86,'Tjek din løn'!L90+3)</f>
        <v>49852.50064253348</v>
      </c>
      <c r="M96" s="48">
        <f>VLOOKUP('Tjek din løn'!$A56,'Tjek din løn'!$A60:$M86,'Tjek din løn'!M90+3)</f>
        <v>56592.17660376008</v>
      </c>
      <c r="U96" s="48">
        <f>VLOOKUP('Tjek din løn'!$M48,'Tjek din løn'!$S60:$AE86,'Tjek din løn'!U90+3)</f>
        <v>36114.87434665937</v>
      </c>
      <c r="V96" s="48">
        <f>VLOOKUP('Tjek din løn'!$M48,'Tjek din løn'!$S60:$AE86,'Tjek din løn'!V90+3)</f>
        <v>38994.53236778563</v>
      </c>
      <c r="W96" s="48">
        <f>VLOOKUP('Tjek din løn'!$M48,'Tjek din løn'!$S60:$AE86,'Tjek din løn'!W90+3)</f>
        <v>40654.48236148563</v>
      </c>
      <c r="X96" s="48">
        <f>VLOOKUP('Tjek din løn'!$M48,'Tjek din løn'!$S60:$AE86,'Tjek din løn'!X90+3)</f>
        <v>41450.01143408563</v>
      </c>
      <c r="Y96" s="48">
        <f>VLOOKUP('Tjek din løn'!$M48,'Tjek din løn'!$S60:$AE86,'Tjek din løn'!Y90+3)</f>
        <v>41714.82563795112</v>
      </c>
      <c r="Z96" s="48">
        <f>VLOOKUP('Tjek din løn'!$M48,'Tjek din løn'!$S60:$AE86,'Tjek din løn'!Z90+3)</f>
        <v>42161.80345933563</v>
      </c>
      <c r="AA96" s="48">
        <f>VLOOKUP('Tjek din løn'!$M48,'Tjek din løn'!$S60:$AE86,'Tjek din løn'!AA90+3)</f>
        <v>42538.53880408563</v>
      </c>
      <c r="AB96" s="48">
        <f>VLOOKUP('Tjek din løn'!$M48,'Tjek din løn'!$S60:$AE86,'Tjek din løn'!AB90+3)</f>
        <v>43030.36512408563</v>
      </c>
      <c r="AC96" s="48">
        <f>VLOOKUP('Tjek din løn'!$M48,'Tjek din løn'!$S60:$AE86,'Tjek din løn'!AC90+3)</f>
        <v>43727.52893268563</v>
      </c>
      <c r="AD96" s="48">
        <f>VLOOKUP('Tjek din løn'!$M48,'Tjek din løn'!$S60:$AE86,'Tjek din løn'!AD90+3)</f>
        <v>44693.11780453563</v>
      </c>
      <c r="AE96" s="48">
        <f>VLOOKUP('Tjek din løn'!$M48,'Tjek din løn'!$S60:$AE86,'Tjek din løn'!AE90+3)</f>
        <v>47921.482946773125</v>
      </c>
    </row>
    <row r="97" spans="3:31" s="44" customFormat="1" ht="15">
      <c r="C97" s="48"/>
      <c r="D97" s="48">
        <f aca="true" t="shared" si="4" ref="D97:K97">E96</f>
        <v>45001.28677408562</v>
      </c>
      <c r="E97" s="48">
        <f t="shared" si="4"/>
        <v>45254.432674085634</v>
      </c>
      <c r="F97" s="48">
        <f t="shared" si="4"/>
        <v>45712.20074085306</v>
      </c>
      <c r="G97" s="48">
        <f t="shared" si="4"/>
        <v>46241.88250258562</v>
      </c>
      <c r="H97" s="48">
        <f t="shared" si="4"/>
        <v>46657.58423408563</v>
      </c>
      <c r="I97" s="48">
        <f t="shared" si="4"/>
        <v>47308.71165258562</v>
      </c>
      <c r="J97" s="48">
        <f t="shared" si="4"/>
        <v>48138.64840784987</v>
      </c>
      <c r="K97" s="48">
        <f t="shared" si="4"/>
        <v>49852.50064253348</v>
      </c>
      <c r="L97" s="48"/>
      <c r="M97" s="48"/>
      <c r="U97" s="48"/>
      <c r="V97" s="48">
        <f aca="true" t="shared" si="5" ref="V97:AC97">W96</f>
        <v>40654.48236148563</v>
      </c>
      <c r="W97" s="48">
        <f t="shared" si="5"/>
        <v>41450.01143408563</v>
      </c>
      <c r="X97" s="48">
        <f t="shared" si="5"/>
        <v>41714.82563795112</v>
      </c>
      <c r="Y97" s="48">
        <f t="shared" si="5"/>
        <v>42161.80345933563</v>
      </c>
      <c r="Z97" s="48">
        <f t="shared" si="5"/>
        <v>42538.53880408563</v>
      </c>
      <c r="AA97" s="48">
        <f t="shared" si="5"/>
        <v>43030.36512408563</v>
      </c>
      <c r="AB97" s="48">
        <f t="shared" si="5"/>
        <v>43727.52893268563</v>
      </c>
      <c r="AC97" s="48">
        <f t="shared" si="5"/>
        <v>44693.11780453563</v>
      </c>
      <c r="AD97" s="48"/>
      <c r="AE97" s="48"/>
    </row>
    <row r="98" spans="4:29" s="44" customFormat="1" ht="15">
      <c r="D98" s="44">
        <f aca="true" t="shared" si="6" ref="D98:K98">10*D90</f>
        <v>10</v>
      </c>
      <c r="E98" s="44">
        <f t="shared" si="6"/>
        <v>20</v>
      </c>
      <c r="F98" s="44">
        <f t="shared" si="6"/>
        <v>30</v>
      </c>
      <c r="G98" s="44">
        <f t="shared" si="6"/>
        <v>40</v>
      </c>
      <c r="H98" s="44">
        <f t="shared" si="6"/>
        <v>50</v>
      </c>
      <c r="I98" s="44">
        <f t="shared" si="6"/>
        <v>60</v>
      </c>
      <c r="J98" s="44">
        <f t="shared" si="6"/>
        <v>70</v>
      </c>
      <c r="K98" s="44">
        <f t="shared" si="6"/>
        <v>80</v>
      </c>
      <c r="V98" s="44">
        <f aca="true" t="shared" si="7" ref="V98:AC98">10*V90</f>
        <v>10</v>
      </c>
      <c r="W98" s="44">
        <f t="shared" si="7"/>
        <v>20</v>
      </c>
      <c r="X98" s="44">
        <f t="shared" si="7"/>
        <v>30</v>
      </c>
      <c r="Y98" s="44">
        <f t="shared" si="7"/>
        <v>40</v>
      </c>
      <c r="Z98" s="44">
        <f t="shared" si="7"/>
        <v>50</v>
      </c>
      <c r="AA98" s="44">
        <f t="shared" si="7"/>
        <v>60</v>
      </c>
      <c r="AB98" s="44">
        <f t="shared" si="7"/>
        <v>70</v>
      </c>
      <c r="AC98" s="44">
        <f t="shared" si="7"/>
        <v>80</v>
      </c>
    </row>
    <row r="99" spans="4:29" s="44" customFormat="1" ht="15">
      <c r="D99" s="44">
        <f>(D98+('Tjek din løn'!$M$50-'Tjek din løn'!D96)*10/('Tjek din løn'!D97-'Tjek din løn'!D96))/100</f>
        <v>-6.352457920527481</v>
      </c>
      <c r="E99" s="44">
        <f>(E98+('Tjek din løn'!$M50-'Tjek din løn'!E96)*10/('Tjek din løn'!E97-'Tjek din løn'!E96))/100</f>
        <v>-17.576818338390535</v>
      </c>
      <c r="F99" s="44">
        <f>(F98+('Tjek din løn'!$M50-'Tjek din løn'!F96)*10/('Tjek din løn'!F97-'Tjek din løn'!F96))/100</f>
        <v>-9.585886753450058</v>
      </c>
      <c r="G99" s="44">
        <f>(G98+('Tjek din løn'!$M50-'Tjek din løn'!G96)*10/('Tjek din løn'!G97-'Tjek din løn'!G96))/100</f>
        <v>-8.230125491074329</v>
      </c>
      <c r="H99" s="44">
        <f>(H98+('Tjek din løn'!$M50-'Tjek din løn'!H96)*10/('Tjek din løn'!H97-'Tjek din løn'!H96))/100</f>
        <v>-10.623812820246641</v>
      </c>
      <c r="I99" s="44">
        <f>(I98+('Tjek din løn'!$M50-'Tjek din løn'!I96)*10/('Tjek din løn'!I97-'Tjek din løn'!I96))/100</f>
        <v>-6.565661114620481</v>
      </c>
      <c r="J99" s="44">
        <f>(J98+('Tjek din løn'!$M50-'Tjek din løn'!J96)*10/('Tjek din løn'!J97-'Tjek din løn'!J96))/100</f>
        <v>-5.000279130007032</v>
      </c>
      <c r="K99" s="44">
        <f>(K98+('Tjek din løn'!$M50-'Tjek din løn'!K96)*10/('Tjek din løn'!K97-'Tjek din løn'!K96))/100</f>
        <v>-2.0087980651807245</v>
      </c>
      <c r="V99" s="44">
        <f>(V98+('Tjek din løn'!$M$50-'Tjek din løn'!V96)*10/('Tjek din løn'!V97-'Tjek din løn'!V96))/100</f>
        <v>-2.2491389810404763</v>
      </c>
      <c r="W99" s="44">
        <f>(W98+('Tjek din løn'!$M50-'Tjek din løn'!W96)*10/('Tjek din løn'!W97-'Tjek din løn'!W96))/100</f>
        <v>-4.910370414071215</v>
      </c>
      <c r="X99" s="44">
        <f>(X98+('Tjek din løn'!$M50-'Tjek din løn'!X96)*10/('Tjek din løn'!X97-'Tjek din løn'!X96))/100</f>
        <v>-15.352487981777431</v>
      </c>
      <c r="Y99" s="44">
        <f>(Y98+('Tjek din løn'!$M50-'Tjek din løn'!Y96)*10/('Tjek din løn'!Y97-'Tjek din løn'!Y96))/100</f>
        <v>-8.932638811639514</v>
      </c>
      <c r="Z99" s="44">
        <f>(Z98+('Tjek din løn'!$M50-'Tjek din løn'!Z96)*10/('Tjek din løn'!Z97-'Tjek din løn'!Z96))/100</f>
        <v>-10.691358614709786</v>
      </c>
      <c r="AA99" s="44">
        <f>(AA98+('Tjek din løn'!$M50-'Tjek din løn'!AA96)*10/('Tjek din løn'!AA97-'Tjek din løn'!AA96))/100</f>
        <v>-8.049097674171977</v>
      </c>
      <c r="AB99" s="44">
        <f>(AB98+('Tjek din løn'!$M50-'Tjek din løn'!AB96)*10/('Tjek din løn'!AB97-'Tjek din løn'!AB96))/100</f>
        <v>-5.472202944742118</v>
      </c>
      <c r="AC99" s="44">
        <f>(AC98+('Tjek din løn'!$M50-'Tjek din løn'!AC96)*10/('Tjek din løn'!AC97-'Tjek din løn'!AC96))/100</f>
        <v>-3.7285866694907965</v>
      </c>
    </row>
    <row r="100" s="44" customFormat="1" ht="15"/>
    <row r="101" spans="4:30" s="44" customFormat="1" ht="15">
      <c r="D101" s="44">
        <v>0.95</v>
      </c>
      <c r="E101" s="44">
        <v>0.95</v>
      </c>
      <c r="F101" s="44">
        <v>0.95</v>
      </c>
      <c r="G101" s="44">
        <v>0.95</v>
      </c>
      <c r="H101" s="44">
        <v>0.95</v>
      </c>
      <c r="I101" s="44">
        <v>0.95</v>
      </c>
      <c r="J101" s="44">
        <v>0.95</v>
      </c>
      <c r="K101" s="44">
        <v>0.95</v>
      </c>
      <c r="L101" s="44">
        <v>0.95</v>
      </c>
      <c r="O101" s="44" t="s">
        <v>11</v>
      </c>
      <c r="P101" s="48">
        <f>'Tjek din løn'!M50</f>
        <v>0</v>
      </c>
      <c r="Q101" s="44">
        <f>P101+0.01</f>
        <v>0.01</v>
      </c>
      <c r="V101" s="44">
        <v>0.95</v>
      </c>
      <c r="W101" s="44">
        <v>0.95</v>
      </c>
      <c r="X101" s="44">
        <v>0.95</v>
      </c>
      <c r="Y101" s="44">
        <v>0.95</v>
      </c>
      <c r="Z101" s="44">
        <v>0.95</v>
      </c>
      <c r="AA101" s="44">
        <v>0.95</v>
      </c>
      <c r="AB101" s="44">
        <v>0.95</v>
      </c>
      <c r="AC101" s="44">
        <v>0.95</v>
      </c>
      <c r="AD101" s="44">
        <v>0.95</v>
      </c>
    </row>
    <row r="102" spans="3:33" s="44" customFormat="1" ht="15">
      <c r="C102" s="44">
        <v>27288</v>
      </c>
      <c r="D102" s="48">
        <f>D89</f>
        <v>35944.08810908562</v>
      </c>
      <c r="E102" s="48">
        <f aca="true" t="shared" si="8" ref="E102:K102">E89</f>
        <v>39397.721459085624</v>
      </c>
      <c r="F102" s="48">
        <f t="shared" si="8"/>
        <v>40817.14668408564</v>
      </c>
      <c r="G102" s="48">
        <f t="shared" si="8"/>
        <v>41947.820026737376</v>
      </c>
      <c r="H102" s="48">
        <f t="shared" si="8"/>
        <v>42946.26372745812</v>
      </c>
      <c r="I102" s="48">
        <f t="shared" si="8"/>
        <v>43882.02025908563</v>
      </c>
      <c r="J102" s="48">
        <f t="shared" si="8"/>
        <v>44831.317384085625</v>
      </c>
      <c r="K102" s="48">
        <f t="shared" si="8"/>
        <v>45709.64324783563</v>
      </c>
      <c r="L102" s="48">
        <f>L89</f>
        <v>47086.82927123563</v>
      </c>
      <c r="O102" s="49">
        <v>0.1</v>
      </c>
      <c r="P102" s="44">
        <f>IF(M$51="STX",D96-0.01,IF(M$51="HHTX",V96-0.01,0))</f>
        <v>38994.52236778563</v>
      </c>
      <c r="Q102" s="44">
        <f>P102+0.02</f>
        <v>38994.54236778562</v>
      </c>
      <c r="U102" s="44">
        <v>27288</v>
      </c>
      <c r="V102" s="48">
        <f>V89</f>
        <v>34142.416108791665</v>
      </c>
      <c r="W102" s="48">
        <f aca="true" t="shared" si="9" ref="W102:AC102">W89</f>
        <v>36149.72194536229</v>
      </c>
      <c r="X102" s="48">
        <f t="shared" si="9"/>
        <v>37978.296234085625</v>
      </c>
      <c r="Y102" s="48">
        <f t="shared" si="9"/>
        <v>38766.664894085625</v>
      </c>
      <c r="Z102" s="48">
        <f t="shared" si="9"/>
        <v>39366.30424471063</v>
      </c>
      <c r="AA102" s="48">
        <f t="shared" si="9"/>
        <v>40232.433900635624</v>
      </c>
      <c r="AB102" s="48">
        <f t="shared" si="9"/>
        <v>41044.68868448563</v>
      </c>
      <c r="AC102" s="48">
        <f t="shared" si="9"/>
        <v>41795.437654990965</v>
      </c>
      <c r="AD102" s="48">
        <f>AD89</f>
        <v>42947.491284788295</v>
      </c>
      <c r="AG102" s="49"/>
    </row>
    <row r="103" spans="4:33" s="44" customFormat="1" ht="15">
      <c r="D103" s="48">
        <f>E89</f>
        <v>39397.721459085624</v>
      </c>
      <c r="E103" s="48">
        <f aca="true" t="shared" si="10" ref="E103:K103">F89</f>
        <v>40817.14668408564</v>
      </c>
      <c r="F103" s="48">
        <f t="shared" si="10"/>
        <v>41947.820026737376</v>
      </c>
      <c r="G103" s="48">
        <f t="shared" si="10"/>
        <v>42946.26372745812</v>
      </c>
      <c r="H103" s="48">
        <f t="shared" si="10"/>
        <v>43882.02025908563</v>
      </c>
      <c r="I103" s="48">
        <f t="shared" si="10"/>
        <v>44831.317384085625</v>
      </c>
      <c r="J103" s="48">
        <f t="shared" si="10"/>
        <v>45709.64324783563</v>
      </c>
      <c r="K103" s="48">
        <f t="shared" si="10"/>
        <v>47086.82927123563</v>
      </c>
      <c r="L103" s="48">
        <f>M89</f>
        <v>53723.64622772032</v>
      </c>
      <c r="O103" s="49">
        <v>0.5</v>
      </c>
      <c r="P103" s="48">
        <f>IF(M$51="STX",H96-0.01,IF(M$51="HHTX",Z96-0.01,0))</f>
        <v>42161.793459335626</v>
      </c>
      <c r="Q103" s="44">
        <f>P103+0.02</f>
        <v>42161.81345933562</v>
      </c>
      <c r="V103" s="48">
        <f aca="true" t="shared" si="11" ref="V103:AD103">W89</f>
        <v>36149.72194536229</v>
      </c>
      <c r="W103" s="48">
        <f t="shared" si="11"/>
        <v>37978.296234085625</v>
      </c>
      <c r="X103" s="48">
        <f t="shared" si="11"/>
        <v>38766.664894085625</v>
      </c>
      <c r="Y103" s="48">
        <f t="shared" si="11"/>
        <v>39366.30424471063</v>
      </c>
      <c r="Z103" s="48">
        <f t="shared" si="11"/>
        <v>40232.433900635624</v>
      </c>
      <c r="AA103" s="48">
        <f t="shared" si="11"/>
        <v>41044.68868448563</v>
      </c>
      <c r="AB103" s="48">
        <f t="shared" si="11"/>
        <v>41795.437654990965</v>
      </c>
      <c r="AC103" s="48">
        <f t="shared" si="11"/>
        <v>42947.491284788295</v>
      </c>
      <c r="AD103" s="48">
        <f t="shared" si="11"/>
        <v>46982.85863373562</v>
      </c>
      <c r="AG103" s="49"/>
    </row>
    <row r="104" spans="4:33" s="44" customFormat="1" ht="15">
      <c r="D104" s="44">
        <v>10</v>
      </c>
      <c r="E104" s="44">
        <v>20</v>
      </c>
      <c r="F104" s="44">
        <v>30</v>
      </c>
      <c r="G104" s="44">
        <v>40</v>
      </c>
      <c r="H104" s="44">
        <v>50</v>
      </c>
      <c r="I104" s="44">
        <v>60</v>
      </c>
      <c r="J104" s="44">
        <v>70</v>
      </c>
      <c r="K104" s="44">
        <v>80</v>
      </c>
      <c r="O104" s="49">
        <v>0.9</v>
      </c>
      <c r="P104" s="44">
        <f>IF(M$51="STX",L96-0.01,IF(M$51="HHTX",AD96-0.01,0))</f>
        <v>44693.107804535626</v>
      </c>
      <c r="Q104" s="44">
        <f>P104+0.02</f>
        <v>44693.12780453562</v>
      </c>
      <c r="V104" s="44">
        <v>10</v>
      </c>
      <c r="W104" s="44">
        <v>20</v>
      </c>
      <c r="X104" s="44">
        <v>30</v>
      </c>
      <c r="Y104" s="44">
        <v>40</v>
      </c>
      <c r="Z104" s="44">
        <v>50</v>
      </c>
      <c r="AA104" s="44">
        <v>60</v>
      </c>
      <c r="AB104" s="44">
        <v>70</v>
      </c>
      <c r="AC104" s="44">
        <v>80</v>
      </c>
      <c r="AG104" s="49"/>
    </row>
    <row r="105" spans="4:29" s="44" customFormat="1" ht="15">
      <c r="D105" s="44">
        <f>(D104+('Tjek din løn'!$M$50-'Tjek din løn'!D102)*10/('Tjek din løn'!D103-'Tjek din løn'!D102))/100</f>
        <v>-0.9407615535993589</v>
      </c>
      <c r="E105" s="44">
        <f>(E104+('Tjek din løn'!$M$50-'Tjek din løn'!E102)*10/('Tjek din løn'!E103-'Tjek din løn'!E102))/100</f>
        <v>-2.5756109138531933</v>
      </c>
      <c r="F105" s="44">
        <f>(F104+('Tjek din løn'!$M$50-'Tjek din løn'!F102)*10/('Tjek din løn'!F103-'Tjek din løn'!F102))/100</f>
        <v>-3.309985761967135</v>
      </c>
      <c r="G105" s="44">
        <f>(G104+('Tjek din løn'!$M$50-'Tjek din løn'!G102)*10/('Tjek din løn'!G103-'Tjek din løn'!G102))/100</f>
        <v>-3.801320514762781</v>
      </c>
      <c r="H105" s="44">
        <f>(H104+('Tjek din løn'!$M$50-'Tjek din løn'!H102)*10/('Tjek din løn'!H103-'Tjek din løn'!H102))/100</f>
        <v>-4.0894698327955235</v>
      </c>
      <c r="I105" s="44">
        <f>(I104+('Tjek din løn'!$M$50-'Tjek din løn'!I102)*10/('Tjek din løn'!I103-'Tjek din løn'!I102))/100</f>
        <v>-4.022580128332923</v>
      </c>
      <c r="J105" s="44">
        <f>(J104+('Tjek din løn'!$M$50-'Tjek din løn'!J102)*10/('Tjek din løn'!J103-'Tjek din løn'!J102))/100</f>
        <v>-4.40417821384409</v>
      </c>
      <c r="K105" s="44">
        <f>(K104+('Tjek din løn'!$M$50-'Tjek din løn'!K102)*10/('Tjek din løn'!K103-'Tjek din løn'!K102))/100</f>
        <v>-2.519060930852873</v>
      </c>
      <c r="O105" s="44" t="s">
        <v>12</v>
      </c>
      <c r="P105" s="44">
        <v>0.944</v>
      </c>
      <c r="Q105" s="44">
        <v>0.956</v>
      </c>
      <c r="V105" s="44">
        <f>(V104+('Tjek din løn'!$M$50-'Tjek din løn'!V102)*10/('Tjek din løn'!V103-'Tjek din løn'!V102))/100</f>
        <v>-1.6009075292244546</v>
      </c>
      <c r="W105" s="44">
        <f>(W104+('Tjek din løn'!$M$50-'Tjek din løn'!W102)*10/('Tjek din løn'!W103-'Tjek din løn'!W102))/100</f>
        <v>-1.7769348266731406</v>
      </c>
      <c r="X105" s="44">
        <f>(X104+('Tjek din løn'!$M$50-'Tjek din løn'!X102)*10/('Tjek din løn'!X103-'Tjek din løn'!X102))/100</f>
        <v>-4.517326989391692</v>
      </c>
      <c r="Y105" s="44">
        <f>(Y104+('Tjek din løn'!$M$50-'Tjek din løn'!Y102)*10/('Tjek din løn'!Y103-'Tjek din løn'!Y102))/100</f>
        <v>-6.064996810779552</v>
      </c>
      <c r="Z105" s="44">
        <f>(Z104+('Tjek din løn'!$M$50-'Tjek din løn'!Z102)*10/('Tjek din løn'!Z103-'Tjek din løn'!Z102))/100</f>
        <v>-4.0450821335367815</v>
      </c>
      <c r="AA105" s="44">
        <f>(AA104+('Tjek din løn'!$M$50-'Tjek din løn'!AA102)*10/('Tjek din løn'!AA103-'Tjek din løn'!AA102))/100</f>
        <v>-4.353179064078647</v>
      </c>
      <c r="AB105" s="44">
        <f>(AB104+('Tjek din løn'!$M$50-'Tjek din løn'!AB102)*10/('Tjek din løn'!AB103-'Tjek din løn'!AB102))/100</f>
        <v>-4.767165496991355</v>
      </c>
      <c r="AC105" s="44">
        <f>(AC104+('Tjek din løn'!$M$50-'Tjek din løn'!AC102)*10/('Tjek din løn'!AC103-'Tjek din løn'!AC102))/100</f>
        <v>-2.8279072930262483</v>
      </c>
    </row>
    <row r="106" spans="16:17" s="44" customFormat="1" ht="15">
      <c r="P106" s="44">
        <v>0.958</v>
      </c>
      <c r="Q106" s="44">
        <v>0.94</v>
      </c>
    </row>
    <row r="107" spans="15:33" s="44" customFormat="1" ht="15">
      <c r="O107" s="44" t="s">
        <v>13</v>
      </c>
      <c r="P107" s="44">
        <f>IF(M$51="STX",C96,IF(M$51="HHTX",U96,0))</f>
        <v>36114.87434665937</v>
      </c>
      <c r="Q107" s="44">
        <f>IF(M$51="STX",M96,IF(M$51="HHTX",AE96,0))</f>
        <v>47921.482946773125</v>
      </c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</row>
    <row r="108" spans="15:33" s="44" customFormat="1" ht="15">
      <c r="O108" s="44" t="s">
        <v>12</v>
      </c>
      <c r="P108" s="44">
        <v>0.95</v>
      </c>
      <c r="Q108" s="44">
        <v>0.95</v>
      </c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</row>
    <row r="109" spans="15:33" s="44" customFormat="1" ht="15">
      <c r="O109" s="44" t="s">
        <v>6</v>
      </c>
      <c r="P109" s="44">
        <f>P107</f>
        <v>36114.87434665937</v>
      </c>
      <c r="Q109" s="44">
        <f>P109+0.01</f>
        <v>36114.884346659375</v>
      </c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</row>
    <row r="110" spans="15:33" s="44" customFormat="1" ht="15">
      <c r="O110" s="44" t="s">
        <v>7</v>
      </c>
      <c r="P110" s="44">
        <f>Q107</f>
        <v>47921.482946773125</v>
      </c>
      <c r="Q110" s="44">
        <f>P110+0.01</f>
        <v>47921.49294677313</v>
      </c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</row>
    <row r="111" spans="16:33" s="44" customFormat="1" ht="15">
      <c r="P111" s="44">
        <v>0.948</v>
      </c>
      <c r="Q111" s="44">
        <v>0.952</v>
      </c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</row>
    <row r="112" spans="21:33" s="44" customFormat="1" ht="15"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</row>
    <row r="113" spans="21:33" s="44" customFormat="1" ht="15"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</row>
    <row r="114" spans="1:33" s="44" customFormat="1" ht="15">
      <c r="A114" s="54">
        <f ca="1">NOW()</f>
        <v>43738.68019328704</v>
      </c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</row>
    <row r="115" spans="4:33" s="44" customFormat="1" ht="15">
      <c r="D115" s="44" t="s">
        <v>0</v>
      </c>
      <c r="G115" s="44" t="s">
        <v>1</v>
      </c>
      <c r="I115" s="44" t="s">
        <v>2</v>
      </c>
      <c r="V115" s="44" t="s">
        <v>0</v>
      </c>
      <c r="Y115" s="44" t="s">
        <v>1</v>
      </c>
      <c r="AA115" s="44" t="s">
        <v>2</v>
      </c>
      <c r="AG115" s="47"/>
    </row>
    <row r="116" spans="3:33" s="44" customFormat="1" ht="15">
      <c r="C116" s="44" t="s">
        <v>4</v>
      </c>
      <c r="D116" s="48" t="e">
        <f>VLOOKUP('Tjek din løn'!M49,'Tjek din løn'!A119:L159,2)</f>
        <v>#N/A</v>
      </c>
      <c r="G116" s="49" t="e">
        <f>HLOOKUP('Tjek din løn'!M50,'Tjek din løn'!D179:K182,4)</f>
        <v>#N/A</v>
      </c>
      <c r="I116" s="49" t="e">
        <f>HLOOKUP('Tjek din løn'!M50,'Tjek din løn'!D173:K176,4)</f>
        <v>#N/A</v>
      </c>
      <c r="U116" s="44" t="s">
        <v>4</v>
      </c>
      <c r="V116" s="48" t="e">
        <f>VLOOKUP('Tjek din løn'!M49,'Tjek din løn'!S119:AD159,2)</f>
        <v>#N/A</v>
      </c>
      <c r="Y116" s="49" t="e">
        <f>HLOOKUP('Tjek din løn'!M50,'Tjek din løn'!V179:AC182,4)</f>
        <v>#N/A</v>
      </c>
      <c r="AA116" s="49" t="e">
        <f>HLOOKUP('Tjek din løn'!M50,'Tjek din løn'!V173:AC176,4)</f>
        <v>#N/A</v>
      </c>
      <c r="AG116" s="47"/>
    </row>
    <row r="117" s="44" customFormat="1" ht="15">
      <c r="AG117" s="47"/>
    </row>
    <row r="118" spans="1:33" s="44" customFormat="1" ht="15">
      <c r="A118" s="44" t="s">
        <v>4</v>
      </c>
      <c r="B118" s="44" t="s">
        <v>0</v>
      </c>
      <c r="C118" s="44" t="s">
        <v>6</v>
      </c>
      <c r="D118" s="56">
        <v>1</v>
      </c>
      <c r="E118" s="56">
        <v>2</v>
      </c>
      <c r="F118" s="56">
        <v>3</v>
      </c>
      <c r="G118" s="56">
        <v>4</v>
      </c>
      <c r="H118" s="56">
        <v>5</v>
      </c>
      <c r="I118" s="56">
        <v>6</v>
      </c>
      <c r="J118" s="56">
        <v>7</v>
      </c>
      <c r="K118" s="56">
        <v>8</v>
      </c>
      <c r="L118" s="56">
        <v>9</v>
      </c>
      <c r="M118" s="44" t="s">
        <v>7</v>
      </c>
      <c r="S118" s="44" t="s">
        <v>4</v>
      </c>
      <c r="T118" s="44" t="s">
        <v>0</v>
      </c>
      <c r="U118" s="44" t="s">
        <v>6</v>
      </c>
      <c r="V118" s="56">
        <v>1</v>
      </c>
      <c r="W118" s="56">
        <v>2</v>
      </c>
      <c r="X118" s="56">
        <v>3</v>
      </c>
      <c r="Y118" s="56">
        <v>4</v>
      </c>
      <c r="Z118" s="56">
        <v>5</v>
      </c>
      <c r="AA118" s="56">
        <v>6</v>
      </c>
      <c r="AB118" s="56">
        <v>7</v>
      </c>
      <c r="AC118" s="56">
        <v>8</v>
      </c>
      <c r="AD118" s="56">
        <v>9</v>
      </c>
      <c r="AE118" s="44" t="s">
        <v>7</v>
      </c>
      <c r="AG118" s="47"/>
    </row>
    <row r="119" spans="1:33" s="44" customFormat="1" ht="15">
      <c r="A119" s="57">
        <v>18</v>
      </c>
      <c r="B119" s="58">
        <v>31906.430051432926</v>
      </c>
      <c r="C119" s="50">
        <v>29146.224204570826</v>
      </c>
      <c r="D119" s="50">
        <v>29223.884853101288</v>
      </c>
      <c r="E119" s="50">
        <v>29223.884853101288</v>
      </c>
      <c r="F119" s="50">
        <v>30054.203405101285</v>
      </c>
      <c r="G119" s="50">
        <v>30308.795853101285</v>
      </c>
      <c r="H119" s="50">
        <v>31303.297603101284</v>
      </c>
      <c r="I119" s="50">
        <v>32914.37380279928</v>
      </c>
      <c r="J119" s="50">
        <v>34142.416108791665</v>
      </c>
      <c r="K119" s="50">
        <v>34564.667598749045</v>
      </c>
      <c r="L119" s="50">
        <v>35867.25404304329</v>
      </c>
      <c r="M119" s="50">
        <v>42611.11022639667</v>
      </c>
      <c r="S119" s="57">
        <f>A119</f>
        <v>18</v>
      </c>
      <c r="T119" s="58">
        <v>31573.17799099272</v>
      </c>
      <c r="U119" s="50">
        <v>29223.884853101288</v>
      </c>
      <c r="V119" s="50">
        <v>29223.884853101288</v>
      </c>
      <c r="W119" s="50">
        <v>29223.884853101288</v>
      </c>
      <c r="X119" s="50">
        <v>29223.884853101288</v>
      </c>
      <c r="Y119" s="50">
        <v>30274.078701101287</v>
      </c>
      <c r="Z119" s="50">
        <v>31228.919886571926</v>
      </c>
      <c r="AA119" s="50">
        <v>32313.830886571926</v>
      </c>
      <c r="AB119" s="50">
        <v>32437.211188337926</v>
      </c>
      <c r="AC119" s="50">
        <v>34142.416108791665</v>
      </c>
      <c r="AD119" s="50">
        <v>35528.42536825046</v>
      </c>
      <c r="AE119" s="50">
        <v>38365.16103120564</v>
      </c>
      <c r="AG119" s="47"/>
    </row>
    <row r="120" spans="1:33" s="44" customFormat="1" ht="15">
      <c r="A120" s="57">
        <v>30</v>
      </c>
      <c r="B120" s="58">
        <v>35249.61269141745</v>
      </c>
      <c r="C120" s="50">
        <v>29223.884853101288</v>
      </c>
      <c r="D120" s="50">
        <v>30308.795853101285</v>
      </c>
      <c r="E120" s="50">
        <v>32361.230482901286</v>
      </c>
      <c r="F120" s="50">
        <v>34142.416108791665</v>
      </c>
      <c r="G120" s="50">
        <v>34983.4542939723</v>
      </c>
      <c r="H120" s="50">
        <v>35640.31656279166</v>
      </c>
      <c r="I120" s="50">
        <v>36786.201643671346</v>
      </c>
      <c r="J120" s="50">
        <v>37666.34815788562</v>
      </c>
      <c r="K120" s="50">
        <v>39109.73291816656</v>
      </c>
      <c r="L120" s="50">
        <v>40634.51999908563</v>
      </c>
      <c r="M120" s="50">
        <v>45829.28542473062</v>
      </c>
      <c r="S120" s="57">
        <f aca="true" t="shared" si="12" ref="S120:S151">A120</f>
        <v>30</v>
      </c>
      <c r="T120" s="58">
        <v>33856.22501967593</v>
      </c>
      <c r="U120" s="50">
        <v>29223.884853101288</v>
      </c>
      <c r="V120" s="50">
        <v>29223.884853101288</v>
      </c>
      <c r="W120" s="50">
        <v>31228.919886571926</v>
      </c>
      <c r="X120" s="50">
        <v>32313.830886571926</v>
      </c>
      <c r="Y120" s="50">
        <v>33312.22023432192</v>
      </c>
      <c r="Z120" s="50">
        <v>34142.416108791665</v>
      </c>
      <c r="AA120" s="50">
        <v>35366.69408660893</v>
      </c>
      <c r="AB120" s="50">
        <v>35944.08810908562</v>
      </c>
      <c r="AC120" s="50">
        <v>36941.09104595904</v>
      </c>
      <c r="AD120" s="50">
        <v>37331.10530019401</v>
      </c>
      <c r="AE120" s="50">
        <v>39660.33230346811</v>
      </c>
      <c r="AG120" s="47"/>
    </row>
    <row r="121" spans="1:33" s="44" customFormat="1" ht="15">
      <c r="A121" s="57">
        <f>A120+1</f>
        <v>31</v>
      </c>
      <c r="B121" s="58">
        <v>36507.11447378365</v>
      </c>
      <c r="C121" s="50">
        <v>29223.884853101288</v>
      </c>
      <c r="D121" s="50">
        <v>31372.008633101283</v>
      </c>
      <c r="E121" s="50">
        <v>34142.416108791665</v>
      </c>
      <c r="F121" s="50">
        <v>35081.516873712106</v>
      </c>
      <c r="G121" s="50">
        <v>35944.08810908562</v>
      </c>
      <c r="H121" s="50">
        <v>36934.25374879167</v>
      </c>
      <c r="I121" s="50">
        <v>37788.222653850455</v>
      </c>
      <c r="J121" s="50">
        <v>39160.315043173454</v>
      </c>
      <c r="K121" s="50">
        <v>40222.21765538563</v>
      </c>
      <c r="L121" s="50">
        <v>41382.74839261583</v>
      </c>
      <c r="M121" s="50">
        <v>45606.12465658563</v>
      </c>
      <c r="S121" s="57">
        <f t="shared" si="12"/>
        <v>31</v>
      </c>
      <c r="T121" s="58">
        <v>34714.216918992635</v>
      </c>
      <c r="U121" s="50">
        <v>29223.884853101288</v>
      </c>
      <c r="V121" s="50">
        <v>30273.42775450129</v>
      </c>
      <c r="W121" s="50">
        <v>32313.830886571926</v>
      </c>
      <c r="X121" s="50">
        <v>34142.416108791665</v>
      </c>
      <c r="Y121" s="50">
        <v>34517.84566492192</v>
      </c>
      <c r="Z121" s="50">
        <v>35944.08810908562</v>
      </c>
      <c r="AA121" s="50">
        <v>35944.08810908562</v>
      </c>
      <c r="AB121" s="50">
        <v>36826.19307948562</v>
      </c>
      <c r="AC121" s="50">
        <v>37207.51017036229</v>
      </c>
      <c r="AD121" s="50">
        <v>38099.26381058563</v>
      </c>
      <c r="AE121" s="50">
        <v>40550.86251187562</v>
      </c>
      <c r="AG121" s="47"/>
    </row>
    <row r="122" spans="1:33" s="44" customFormat="1" ht="15">
      <c r="A122" s="57">
        <f aca="true" t="shared" si="13" ref="A122:A151">A121+1</f>
        <v>32</v>
      </c>
      <c r="B122" s="58">
        <v>37400.23229387143</v>
      </c>
      <c r="C122" s="50">
        <v>30102.975284517524</v>
      </c>
      <c r="D122" s="50">
        <v>33991.222253722655</v>
      </c>
      <c r="E122" s="50">
        <v>34882.885948141666</v>
      </c>
      <c r="F122" s="50">
        <v>35944.08810908562</v>
      </c>
      <c r="G122" s="50">
        <v>36879.56504571375</v>
      </c>
      <c r="H122" s="50">
        <v>37805.25469643864</v>
      </c>
      <c r="I122" s="50">
        <v>38843.33193808563</v>
      </c>
      <c r="J122" s="50">
        <v>39822.64493408563</v>
      </c>
      <c r="K122" s="50">
        <v>40599.26039158563</v>
      </c>
      <c r="L122" s="50">
        <v>41919.687487835625</v>
      </c>
      <c r="M122" s="50">
        <v>45508.00349756061</v>
      </c>
      <c r="S122" s="57">
        <f t="shared" si="12"/>
        <v>32</v>
      </c>
      <c r="T122" s="58">
        <v>35486.70969203053</v>
      </c>
      <c r="U122" s="50">
        <v>29223.884853101288</v>
      </c>
      <c r="V122" s="50">
        <v>31228.919886571926</v>
      </c>
      <c r="W122" s="50">
        <v>34142.416108791665</v>
      </c>
      <c r="X122" s="50">
        <v>34348.049945068335</v>
      </c>
      <c r="Y122" s="50">
        <v>35944.08810908562</v>
      </c>
      <c r="Z122" s="50">
        <v>35944.08810908562</v>
      </c>
      <c r="AA122" s="50">
        <v>36637.20235042733</v>
      </c>
      <c r="AB122" s="50">
        <v>37028.99910908563</v>
      </c>
      <c r="AC122" s="50">
        <v>37953.25287183563</v>
      </c>
      <c r="AD122" s="50">
        <v>39012.12600783563</v>
      </c>
      <c r="AE122" s="50">
        <v>42188.383778835625</v>
      </c>
      <c r="AG122" s="47"/>
    </row>
    <row r="123" spans="1:33" s="44" customFormat="1" ht="15">
      <c r="A123" s="57">
        <f t="shared" si="13"/>
        <v>33</v>
      </c>
      <c r="B123" s="58">
        <v>38272.249074566884</v>
      </c>
      <c r="C123" s="50">
        <v>29776.122633951287</v>
      </c>
      <c r="D123" s="50">
        <v>34142.416108791665</v>
      </c>
      <c r="E123" s="50">
        <v>35679.37335879167</v>
      </c>
      <c r="F123" s="50">
        <v>36823.95446379166</v>
      </c>
      <c r="G123" s="50">
        <v>37978.296234085625</v>
      </c>
      <c r="H123" s="50">
        <v>39063.207234085625</v>
      </c>
      <c r="I123" s="50">
        <v>39759.358459085626</v>
      </c>
      <c r="J123" s="50">
        <v>40283.73210908563</v>
      </c>
      <c r="K123" s="50">
        <v>41246.55445788563</v>
      </c>
      <c r="L123" s="50">
        <v>42516.84058408562</v>
      </c>
      <c r="M123" s="50">
        <v>46234.64072166064</v>
      </c>
      <c r="S123" s="57">
        <f t="shared" si="12"/>
        <v>33</v>
      </c>
      <c r="T123" s="58">
        <v>36502.07118788178</v>
      </c>
      <c r="U123" s="50">
        <v>29223.884853101288</v>
      </c>
      <c r="V123" s="50">
        <v>33263.138945068335</v>
      </c>
      <c r="W123" s="50">
        <v>34647.08054229167</v>
      </c>
      <c r="X123" s="50">
        <v>35944.08810908562</v>
      </c>
      <c r="Y123" s="50">
        <v>35944.08810908562</v>
      </c>
      <c r="Z123" s="50">
        <v>36892.11950458562</v>
      </c>
      <c r="AA123" s="50">
        <v>37263.97274983563</v>
      </c>
      <c r="AB123" s="50">
        <v>37978.296234085625</v>
      </c>
      <c r="AC123" s="50">
        <v>39018.72588308562</v>
      </c>
      <c r="AD123" s="50">
        <v>39686.66942208563</v>
      </c>
      <c r="AE123" s="50">
        <v>42912.40654824419</v>
      </c>
      <c r="AG123" s="47"/>
    </row>
    <row r="124" spans="1:33" s="44" customFormat="1" ht="15">
      <c r="A124" s="57">
        <f t="shared" si="13"/>
        <v>34</v>
      </c>
      <c r="B124" s="58">
        <v>38923.133654134625</v>
      </c>
      <c r="C124" s="50">
        <v>29866.847412233787</v>
      </c>
      <c r="D124" s="50">
        <v>34597.789419191664</v>
      </c>
      <c r="E124" s="50">
        <v>36309.632908909254</v>
      </c>
      <c r="F124" s="50">
        <v>37771.696196321056</v>
      </c>
      <c r="G124" s="50">
        <v>39063.207234085625</v>
      </c>
      <c r="H124" s="50">
        <v>39515.253484085624</v>
      </c>
      <c r="I124" s="50">
        <v>40148.118234085625</v>
      </c>
      <c r="J124" s="50">
        <v>40775.03454640008</v>
      </c>
      <c r="K124" s="50">
        <v>41518.72246408563</v>
      </c>
      <c r="L124" s="50">
        <v>42889.51655351063</v>
      </c>
      <c r="M124" s="50">
        <v>46204.769957506884</v>
      </c>
      <c r="S124" s="57">
        <f t="shared" si="12"/>
        <v>34</v>
      </c>
      <c r="T124" s="58">
        <v>37317.11364902174</v>
      </c>
      <c r="U124" s="50">
        <v>29223.884853101288</v>
      </c>
      <c r="V124" s="50">
        <v>34142.416108791665</v>
      </c>
      <c r="W124" s="50">
        <v>35944.08810908562</v>
      </c>
      <c r="X124" s="50">
        <v>35964.65149271329</v>
      </c>
      <c r="Y124" s="50">
        <v>36987.04921708562</v>
      </c>
      <c r="Z124" s="50">
        <v>37720.31343921063</v>
      </c>
      <c r="AA124" s="50">
        <v>38171.31054134096</v>
      </c>
      <c r="AB124" s="50">
        <v>39018.96998806063</v>
      </c>
      <c r="AC124" s="50">
        <v>39359.27944598563</v>
      </c>
      <c r="AD124" s="50">
        <v>40587.624721110624</v>
      </c>
      <c r="AE124" s="50">
        <v>43163.74634265682</v>
      </c>
      <c r="AG124" s="47"/>
    </row>
    <row r="125" spans="1:33" s="44" customFormat="1" ht="15">
      <c r="A125" s="57">
        <f t="shared" si="13"/>
        <v>35</v>
      </c>
      <c r="B125" s="58">
        <v>39587.31862582911</v>
      </c>
      <c r="C125" s="50">
        <v>29862.90285665629</v>
      </c>
      <c r="D125" s="50">
        <v>35702.87976379167</v>
      </c>
      <c r="E125" s="50">
        <v>37426.79980908563</v>
      </c>
      <c r="F125" s="50">
        <v>38838.99229408562</v>
      </c>
      <c r="G125" s="50">
        <v>39479.08978408563</v>
      </c>
      <c r="H125" s="50">
        <v>40102.009516585626</v>
      </c>
      <c r="I125" s="50">
        <v>40600.16448408563</v>
      </c>
      <c r="J125" s="50">
        <v>41255.60984836563</v>
      </c>
      <c r="K125" s="50">
        <v>41917.119865135624</v>
      </c>
      <c r="L125" s="50">
        <v>42925.36382113563</v>
      </c>
      <c r="M125" s="50">
        <v>45337.543185333125</v>
      </c>
      <c r="S125" s="57">
        <f t="shared" si="12"/>
        <v>35</v>
      </c>
      <c r="T125" s="58">
        <v>37646.370375578146</v>
      </c>
      <c r="U125" s="50">
        <v>29223.884853101288</v>
      </c>
      <c r="V125" s="50">
        <v>34348.049945068335</v>
      </c>
      <c r="W125" s="50">
        <v>35944.08810908562</v>
      </c>
      <c r="X125" s="50">
        <v>36573.405233871</v>
      </c>
      <c r="Y125" s="50">
        <v>37226.18168333563</v>
      </c>
      <c r="Z125" s="50">
        <v>37978.296234085625</v>
      </c>
      <c r="AA125" s="50">
        <v>38882.365105683246</v>
      </c>
      <c r="AB125" s="50">
        <v>39221.83026321063</v>
      </c>
      <c r="AC125" s="50">
        <v>40054.18302333562</v>
      </c>
      <c r="AD125" s="50">
        <v>40853.81234477447</v>
      </c>
      <c r="AE125" s="50">
        <v>43086.76367996512</v>
      </c>
      <c r="AG125" s="47"/>
    </row>
    <row r="126" spans="1:33" s="44" customFormat="1" ht="15">
      <c r="A126" s="57">
        <f t="shared" si="13"/>
        <v>36</v>
      </c>
      <c r="B126" s="58">
        <v>40211.322429634536</v>
      </c>
      <c r="C126" s="50">
        <v>31338.105164351284</v>
      </c>
      <c r="D126" s="50">
        <v>36105.56079643864</v>
      </c>
      <c r="E126" s="50">
        <v>38168.15565908563</v>
      </c>
      <c r="F126" s="50">
        <v>39397.48003768685</v>
      </c>
      <c r="G126" s="50">
        <v>39894.97233408563</v>
      </c>
      <c r="H126" s="50">
        <v>40372.19585601495</v>
      </c>
      <c r="I126" s="50">
        <v>41240.26197408563</v>
      </c>
      <c r="J126" s="50">
        <v>41793.56658408563</v>
      </c>
      <c r="K126" s="50">
        <v>42468.01958908563</v>
      </c>
      <c r="L126" s="50">
        <v>43276.27828408562</v>
      </c>
      <c r="M126" s="50">
        <v>46661.749840279386</v>
      </c>
      <c r="S126" s="57">
        <f t="shared" si="12"/>
        <v>36</v>
      </c>
      <c r="T126" s="58">
        <v>38006.52879426818</v>
      </c>
      <c r="U126" s="50">
        <v>29223.884853101288</v>
      </c>
      <c r="V126" s="50">
        <v>35147.351086241666</v>
      </c>
      <c r="W126" s="50">
        <v>35944.08810908562</v>
      </c>
      <c r="X126" s="50">
        <v>36960.406347557306</v>
      </c>
      <c r="Y126" s="50">
        <v>37978.296234085625</v>
      </c>
      <c r="Z126" s="50">
        <v>38482.96066758563</v>
      </c>
      <c r="AA126" s="50">
        <v>39038.97755508563</v>
      </c>
      <c r="AB126" s="50">
        <v>39353.24010808563</v>
      </c>
      <c r="AC126" s="50">
        <v>40295.593001546295</v>
      </c>
      <c r="AD126" s="50">
        <v>41053.48550451062</v>
      </c>
      <c r="AE126" s="50">
        <v>43048.29729253132</v>
      </c>
      <c r="AG126" s="47"/>
    </row>
    <row r="127" spans="1:33" s="44" customFormat="1" ht="15">
      <c r="A127" s="57">
        <f t="shared" si="13"/>
        <v>37</v>
      </c>
      <c r="B127" s="58">
        <v>40806.51943445577</v>
      </c>
      <c r="C127" s="50">
        <v>30844.787392481547</v>
      </c>
      <c r="D127" s="50">
        <v>37495.510839085626</v>
      </c>
      <c r="E127" s="50">
        <v>39063.207234085625</v>
      </c>
      <c r="F127" s="50">
        <v>39772.95601028563</v>
      </c>
      <c r="G127" s="50">
        <v>40374.14135908563</v>
      </c>
      <c r="H127" s="50">
        <v>41217.84048008563</v>
      </c>
      <c r="I127" s="50">
        <v>41770.06017908563</v>
      </c>
      <c r="J127" s="50">
        <v>42269.90102734176</v>
      </c>
      <c r="K127" s="50">
        <v>42943.572244085626</v>
      </c>
      <c r="L127" s="50">
        <v>44195.28831033563</v>
      </c>
      <c r="M127" s="50">
        <v>47520.23494207062</v>
      </c>
      <c r="S127" s="57">
        <f t="shared" si="12"/>
        <v>37</v>
      </c>
      <c r="T127" s="58">
        <v>38251.19428669085</v>
      </c>
      <c r="U127" s="50">
        <v>29594.678377117765</v>
      </c>
      <c r="V127" s="50">
        <v>35242.854243403766</v>
      </c>
      <c r="W127" s="50">
        <v>36149.72194536229</v>
      </c>
      <c r="X127" s="50">
        <v>37075.632200235625</v>
      </c>
      <c r="Y127" s="50">
        <v>37978.296234085625</v>
      </c>
      <c r="Z127" s="50">
        <v>38666.76267283563</v>
      </c>
      <c r="AA127" s="50">
        <v>39094.272541335005</v>
      </c>
      <c r="AB127" s="50">
        <v>39663.85012738562</v>
      </c>
      <c r="AC127" s="50">
        <v>40436.70456008563</v>
      </c>
      <c r="AD127" s="50">
        <v>41039.534556096296</v>
      </c>
      <c r="AE127" s="50">
        <v>42660.53458690403</v>
      </c>
      <c r="AG127" s="47"/>
    </row>
    <row r="128" spans="1:33" s="44" customFormat="1" ht="15">
      <c r="A128" s="57">
        <f t="shared" si="13"/>
        <v>38</v>
      </c>
      <c r="B128" s="58">
        <v>41294.357851264394</v>
      </c>
      <c r="C128" s="50">
        <v>30361.289869844713</v>
      </c>
      <c r="D128" s="50">
        <v>37978.296234085625</v>
      </c>
      <c r="E128" s="50">
        <v>39596.62180908563</v>
      </c>
      <c r="F128" s="50">
        <v>40228.82763167244</v>
      </c>
      <c r="G128" s="50">
        <v>40880.43315908563</v>
      </c>
      <c r="H128" s="50">
        <v>41628.50728846676</v>
      </c>
      <c r="I128" s="50">
        <v>42019.58970908562</v>
      </c>
      <c r="J128" s="50">
        <v>42445.23645808562</v>
      </c>
      <c r="K128" s="50">
        <v>43132.36887436215</v>
      </c>
      <c r="L128" s="50">
        <v>44307.43194403562</v>
      </c>
      <c r="M128" s="50">
        <v>47969.72532257311</v>
      </c>
      <c r="S128" s="57">
        <f t="shared" si="12"/>
        <v>38</v>
      </c>
      <c r="T128" s="58">
        <v>38384.31337015923</v>
      </c>
      <c r="U128" s="50">
        <v>32313.830886571926</v>
      </c>
      <c r="V128" s="50">
        <v>35275.79567245922</v>
      </c>
      <c r="W128" s="50">
        <v>36149.72194536229</v>
      </c>
      <c r="X128" s="50">
        <v>37084.29340638562</v>
      </c>
      <c r="Y128" s="50">
        <v>38158.363936740956</v>
      </c>
      <c r="Z128" s="50">
        <v>38937.086330335624</v>
      </c>
      <c r="AA128" s="50">
        <v>39279.004672340954</v>
      </c>
      <c r="AB128" s="50">
        <v>40031.224965409034</v>
      </c>
      <c r="AC128" s="50">
        <v>40634.049870985626</v>
      </c>
      <c r="AD128" s="50">
        <v>41142.49341113562</v>
      </c>
      <c r="AE128" s="50">
        <v>42575.14008485563</v>
      </c>
      <c r="AG128" s="47"/>
    </row>
    <row r="129" spans="1:33" s="44" customFormat="1" ht="15">
      <c r="A129" s="57">
        <f t="shared" si="13"/>
        <v>39</v>
      </c>
      <c r="B129" s="58">
        <v>41782.407425682635</v>
      </c>
      <c r="C129" s="50">
        <v>30388.491606976284</v>
      </c>
      <c r="D129" s="50">
        <v>38887.36124283563</v>
      </c>
      <c r="E129" s="50">
        <v>39970.19283008562</v>
      </c>
      <c r="F129" s="50">
        <v>40817.14668408564</v>
      </c>
      <c r="G129" s="50">
        <v>41637.12241788563</v>
      </c>
      <c r="H129" s="50">
        <v>41971.58239733563</v>
      </c>
      <c r="I129" s="50">
        <v>42336.02208408562</v>
      </c>
      <c r="J129" s="50">
        <v>42987.42073033563</v>
      </c>
      <c r="K129" s="50">
        <v>43561.92811764563</v>
      </c>
      <c r="L129" s="50">
        <v>44850.53839063562</v>
      </c>
      <c r="M129" s="50">
        <v>48110.91383192813</v>
      </c>
      <c r="S129" s="57">
        <f t="shared" si="12"/>
        <v>39</v>
      </c>
      <c r="T129" s="58">
        <v>38427.22565458233</v>
      </c>
      <c r="U129" s="50">
        <v>29544.891177265712</v>
      </c>
      <c r="V129" s="50">
        <v>35825.64631350135</v>
      </c>
      <c r="W129" s="50">
        <v>36149.72194536229</v>
      </c>
      <c r="X129" s="50">
        <v>37142.84163554629</v>
      </c>
      <c r="Y129" s="50">
        <v>38129.215994540966</v>
      </c>
      <c r="Z129" s="50">
        <v>38981.38686283562</v>
      </c>
      <c r="AA129" s="50">
        <v>39334.43498408563</v>
      </c>
      <c r="AB129" s="50">
        <v>40068.124129685624</v>
      </c>
      <c r="AC129" s="50">
        <v>40623.96019868563</v>
      </c>
      <c r="AD129" s="50">
        <v>41138.93128668562</v>
      </c>
      <c r="AE129" s="50">
        <v>42395.26184105564</v>
      </c>
      <c r="AG129" s="47"/>
    </row>
    <row r="130" spans="1:33" s="44" customFormat="1" ht="15">
      <c r="A130" s="57">
        <f t="shared" si="13"/>
        <v>40</v>
      </c>
      <c r="B130" s="58">
        <v>41996.52880567005</v>
      </c>
      <c r="C130" s="50">
        <v>30425.423785601284</v>
      </c>
      <c r="D130" s="50">
        <v>39054.166309085624</v>
      </c>
      <c r="E130" s="50">
        <v>40148.118234085625</v>
      </c>
      <c r="F130" s="50">
        <v>41214.94738408562</v>
      </c>
      <c r="G130" s="50">
        <v>41766.44380908562</v>
      </c>
      <c r="H130" s="50">
        <v>42141.55178733563</v>
      </c>
      <c r="I130" s="50">
        <v>42521.18022808562</v>
      </c>
      <c r="J130" s="50">
        <v>43175.92401658563</v>
      </c>
      <c r="K130" s="50">
        <v>43968.27068358562</v>
      </c>
      <c r="L130" s="50">
        <v>45187.349010585625</v>
      </c>
      <c r="M130" s="50">
        <v>49457.20611051062</v>
      </c>
      <c r="S130" s="57">
        <f t="shared" si="12"/>
        <v>40</v>
      </c>
      <c r="T130" s="58">
        <v>38759.103821959776</v>
      </c>
      <c r="U130" s="50">
        <v>29487.80212496791</v>
      </c>
      <c r="V130" s="50">
        <v>35944.08810908562</v>
      </c>
      <c r="W130" s="50">
        <v>36458.19126828563</v>
      </c>
      <c r="X130" s="50">
        <v>37978.296234085625</v>
      </c>
      <c r="Y130" s="50">
        <v>38716.90364288563</v>
      </c>
      <c r="Z130" s="50">
        <v>39095.485008537464</v>
      </c>
      <c r="AA130" s="50">
        <v>39719.88578053563</v>
      </c>
      <c r="AB130" s="50">
        <v>40263.45155594411</v>
      </c>
      <c r="AC130" s="50">
        <v>40708.94489368563</v>
      </c>
      <c r="AD130" s="50">
        <v>41253.08910376149</v>
      </c>
      <c r="AE130" s="50">
        <v>43350.22265352187</v>
      </c>
      <c r="AG130" s="47"/>
    </row>
    <row r="131" spans="1:33" s="44" customFormat="1" ht="15">
      <c r="A131" s="57">
        <f t="shared" si="13"/>
        <v>41</v>
      </c>
      <c r="B131" s="58">
        <v>42212.40282763035</v>
      </c>
      <c r="C131" s="50">
        <v>30456.524567601286</v>
      </c>
      <c r="D131" s="50">
        <v>39323.914624305886</v>
      </c>
      <c r="E131" s="50">
        <v>40585.69900408563</v>
      </c>
      <c r="F131" s="50">
        <v>41413.847734085626</v>
      </c>
      <c r="G131" s="50">
        <v>41887.75494073562</v>
      </c>
      <c r="H131" s="50">
        <v>42317.940234085625</v>
      </c>
      <c r="I131" s="50">
        <v>42970.67693723563</v>
      </c>
      <c r="J131" s="50">
        <v>43403.755326585626</v>
      </c>
      <c r="K131" s="50">
        <v>44246.04966865912</v>
      </c>
      <c r="L131" s="50">
        <v>45467.79850408563</v>
      </c>
      <c r="M131" s="50">
        <v>49397.08034289063</v>
      </c>
      <c r="S131" s="57">
        <f t="shared" si="12"/>
        <v>41</v>
      </c>
      <c r="T131" s="58">
        <v>38968.15444990541</v>
      </c>
      <c r="U131" s="50">
        <v>29411.011644113052</v>
      </c>
      <c r="V131" s="50">
        <v>35944.08810908562</v>
      </c>
      <c r="W131" s="50">
        <v>36855.81114978562</v>
      </c>
      <c r="X131" s="50">
        <v>38013.66433268563</v>
      </c>
      <c r="Y131" s="50">
        <v>38936.92359368563</v>
      </c>
      <c r="Z131" s="50">
        <v>39270.24441658563</v>
      </c>
      <c r="AA131" s="50">
        <v>39998.47284348563</v>
      </c>
      <c r="AB131" s="50">
        <v>40369.390251215686</v>
      </c>
      <c r="AC131" s="50">
        <v>41015.99982661229</v>
      </c>
      <c r="AD131" s="50">
        <v>41508.958265085625</v>
      </c>
      <c r="AE131" s="50">
        <v>43490.18295321563</v>
      </c>
      <c r="AG131" s="47"/>
    </row>
    <row r="132" spans="1:33" s="44" customFormat="1" ht="15">
      <c r="A132" s="57">
        <f t="shared" si="13"/>
        <v>42</v>
      </c>
      <c r="B132" s="58">
        <v>42462.551157245085</v>
      </c>
      <c r="C132" s="50">
        <v>30427.367584476284</v>
      </c>
      <c r="D132" s="50">
        <v>39488.46522331063</v>
      </c>
      <c r="E132" s="50">
        <v>40786.08206578563</v>
      </c>
      <c r="F132" s="50">
        <v>41602.72169826063</v>
      </c>
      <c r="G132" s="50">
        <v>42088.440035194006</v>
      </c>
      <c r="H132" s="50">
        <v>42597.30481658563</v>
      </c>
      <c r="I132" s="50">
        <v>43142.04278407785</v>
      </c>
      <c r="J132" s="50">
        <v>43703.385175404816</v>
      </c>
      <c r="K132" s="50">
        <v>44481.88563283562</v>
      </c>
      <c r="L132" s="50">
        <v>45796.04736806063</v>
      </c>
      <c r="M132" s="50">
        <v>50231.85064636061</v>
      </c>
      <c r="S132" s="57">
        <f t="shared" si="12"/>
        <v>42</v>
      </c>
      <c r="T132" s="58">
        <v>39359.63411545959</v>
      </c>
      <c r="U132" s="50">
        <v>29413.06798247582</v>
      </c>
      <c r="V132" s="50">
        <v>36149.72194536229</v>
      </c>
      <c r="W132" s="50">
        <v>37978.296234085625</v>
      </c>
      <c r="X132" s="50">
        <v>38825.05118773562</v>
      </c>
      <c r="Y132" s="50">
        <v>39108.41185908563</v>
      </c>
      <c r="Z132" s="50">
        <v>39863.78114283563</v>
      </c>
      <c r="AA132" s="50">
        <v>40261.76388893384</v>
      </c>
      <c r="AB132" s="50">
        <v>40674.992242303626</v>
      </c>
      <c r="AC132" s="50">
        <v>41194.78451905696</v>
      </c>
      <c r="AD132" s="50">
        <v>42024.61646338563</v>
      </c>
      <c r="AE132" s="50">
        <v>43611.85572186564</v>
      </c>
      <c r="AG132" s="47"/>
    </row>
    <row r="133" spans="1:33" s="44" customFormat="1" ht="15">
      <c r="A133" s="57">
        <f t="shared" si="13"/>
        <v>43</v>
      </c>
      <c r="B133" s="58">
        <v>42755.423870698374</v>
      </c>
      <c r="C133" s="50">
        <v>30713.693679226282</v>
      </c>
      <c r="D133" s="50">
        <v>39828.069489085625</v>
      </c>
      <c r="E133" s="50">
        <v>41127.25041158563</v>
      </c>
      <c r="F133" s="50">
        <v>41759.41901036062</v>
      </c>
      <c r="G133" s="50">
        <v>42407.37306418563</v>
      </c>
      <c r="H133" s="50">
        <v>42997.18933334798</v>
      </c>
      <c r="I133" s="50">
        <v>43552.17115138563</v>
      </c>
      <c r="J133" s="50">
        <v>44133.83714311062</v>
      </c>
      <c r="K133" s="50">
        <v>44919.91844908563</v>
      </c>
      <c r="L133" s="50">
        <v>46235.82508283563</v>
      </c>
      <c r="M133" s="50">
        <v>50765.84836102312</v>
      </c>
      <c r="S133" s="57">
        <f t="shared" si="12"/>
        <v>43</v>
      </c>
      <c r="T133" s="58">
        <v>39494.30135522509</v>
      </c>
      <c r="U133" s="50">
        <v>29223.884853101288</v>
      </c>
      <c r="V133" s="50">
        <v>36179.08094993</v>
      </c>
      <c r="W133" s="50">
        <v>37978.296234085625</v>
      </c>
      <c r="X133" s="50">
        <v>38871.55770593563</v>
      </c>
      <c r="Y133" s="50">
        <v>39126.059744685626</v>
      </c>
      <c r="Z133" s="50">
        <v>39876.89048408563</v>
      </c>
      <c r="AA133" s="50">
        <v>40250.06370438563</v>
      </c>
      <c r="AB133" s="50">
        <v>40670.30398023563</v>
      </c>
      <c r="AC133" s="50">
        <v>41224.69642889302</v>
      </c>
      <c r="AD133" s="50">
        <v>42034.48915348563</v>
      </c>
      <c r="AE133" s="50">
        <v>43584.19591592063</v>
      </c>
      <c r="AG133" s="47"/>
    </row>
    <row r="134" spans="1:33" s="44" customFormat="1" ht="15">
      <c r="A134" s="57">
        <f t="shared" si="13"/>
        <v>44</v>
      </c>
      <c r="B134" s="58">
        <v>42978.56280658723</v>
      </c>
      <c r="C134" s="50">
        <v>31284.986073983295</v>
      </c>
      <c r="D134" s="50">
        <v>40123.21952663562</v>
      </c>
      <c r="E134" s="50">
        <v>41269.19293408563</v>
      </c>
      <c r="F134" s="50">
        <v>41925.56408908562</v>
      </c>
      <c r="G134" s="50">
        <v>42682.868130785624</v>
      </c>
      <c r="H134" s="50">
        <v>43185.86903408562</v>
      </c>
      <c r="I134" s="50">
        <v>43859.81574728563</v>
      </c>
      <c r="J134" s="50">
        <v>44360.10437308563</v>
      </c>
      <c r="K134" s="50">
        <v>45178.48890408562</v>
      </c>
      <c r="L134" s="50">
        <v>46482.56096701063</v>
      </c>
      <c r="M134" s="50">
        <v>50628.702049235624</v>
      </c>
      <c r="S134" s="57">
        <f t="shared" si="12"/>
        <v>44</v>
      </c>
      <c r="T134" s="58">
        <v>39714.16814177747</v>
      </c>
      <c r="U134" s="50">
        <v>29223.884853101288</v>
      </c>
      <c r="V134" s="50">
        <v>36889.13599933562</v>
      </c>
      <c r="W134" s="50">
        <v>38355.33897028563</v>
      </c>
      <c r="X134" s="50">
        <v>38972.13042852897</v>
      </c>
      <c r="Y134" s="50">
        <v>39421.96654058982</v>
      </c>
      <c r="Z134" s="50">
        <v>40029.77252583563</v>
      </c>
      <c r="AA134" s="50">
        <v>40311.617267572336</v>
      </c>
      <c r="AB134" s="50">
        <v>40962.217366635625</v>
      </c>
      <c r="AC134" s="50">
        <v>41328.30495655788</v>
      </c>
      <c r="AD134" s="50">
        <v>42132.149225335634</v>
      </c>
      <c r="AE134" s="50">
        <v>44925.745325248135</v>
      </c>
      <c r="AG134" s="47"/>
    </row>
    <row r="135" spans="1:33" s="44" customFormat="1" ht="15">
      <c r="A135" s="57">
        <f t="shared" si="13"/>
        <v>45</v>
      </c>
      <c r="B135" s="58">
        <v>43298.598402138996</v>
      </c>
      <c r="C135" s="50">
        <v>34147.86885707371</v>
      </c>
      <c r="D135" s="50">
        <v>40424.77053908562</v>
      </c>
      <c r="E135" s="50">
        <v>41685.798758085635</v>
      </c>
      <c r="F135" s="50">
        <v>42391.35254508563</v>
      </c>
      <c r="G135" s="50">
        <v>43086.00448239768</v>
      </c>
      <c r="H135" s="50">
        <v>43556.366140585626</v>
      </c>
      <c r="I135" s="50">
        <v>44056.40708521533</v>
      </c>
      <c r="J135" s="50">
        <v>44630.37378503562</v>
      </c>
      <c r="K135" s="50">
        <v>45372.470990885624</v>
      </c>
      <c r="L135" s="50">
        <v>46642.39548008562</v>
      </c>
      <c r="M135" s="50">
        <v>51006.92643433312</v>
      </c>
      <c r="S135" s="57">
        <f t="shared" si="12"/>
        <v>45</v>
      </c>
      <c r="T135" s="58">
        <v>39787.939659586445</v>
      </c>
      <c r="U135" s="50">
        <v>32340.452212402513</v>
      </c>
      <c r="V135" s="50">
        <v>36970.63089728563</v>
      </c>
      <c r="W135" s="50">
        <v>37992.761714085624</v>
      </c>
      <c r="X135" s="50">
        <v>38972.13042852897</v>
      </c>
      <c r="Y135" s="50">
        <v>39421.96654058982</v>
      </c>
      <c r="Z135" s="50">
        <v>40005.27161908563</v>
      </c>
      <c r="AA135" s="50">
        <v>40266.554351585626</v>
      </c>
      <c r="AB135" s="50">
        <v>40936.75812183563</v>
      </c>
      <c r="AC135" s="50">
        <v>41441.241736835625</v>
      </c>
      <c r="AD135" s="50">
        <v>42498.75873408562</v>
      </c>
      <c r="AE135" s="50">
        <v>44917.41627023795</v>
      </c>
      <c r="AG135" s="47"/>
    </row>
    <row r="136" spans="1:33" s="44" customFormat="1" ht="15">
      <c r="A136" s="57">
        <f t="shared" si="13"/>
        <v>46</v>
      </c>
      <c r="B136" s="58">
        <v>43535.762856605055</v>
      </c>
      <c r="C136" s="50">
        <v>36147.17499470805</v>
      </c>
      <c r="D136" s="50">
        <v>40416.3929973023</v>
      </c>
      <c r="E136" s="50">
        <v>41734.43785738392</v>
      </c>
      <c r="F136" s="50">
        <v>42669.632216585625</v>
      </c>
      <c r="G136" s="50">
        <v>43386.01703173563</v>
      </c>
      <c r="H136" s="50">
        <v>43886.540721585625</v>
      </c>
      <c r="I136" s="50">
        <v>44403.08536410763</v>
      </c>
      <c r="J136" s="50">
        <v>44994.8405595398</v>
      </c>
      <c r="K136" s="50">
        <v>45639.130203431865</v>
      </c>
      <c r="L136" s="50">
        <v>46842.832787335625</v>
      </c>
      <c r="M136" s="50">
        <v>51072.58615214561</v>
      </c>
      <c r="S136" s="57">
        <f t="shared" si="12"/>
        <v>46</v>
      </c>
      <c r="T136" s="58">
        <v>39842.53712524487</v>
      </c>
      <c r="U136" s="50">
        <v>29347.482694440114</v>
      </c>
      <c r="V136" s="50">
        <v>37978.296234085625</v>
      </c>
      <c r="W136" s="50">
        <v>38482.96066758563</v>
      </c>
      <c r="X136" s="50">
        <v>38987.54205630239</v>
      </c>
      <c r="Y136" s="50">
        <v>39390.13221625369</v>
      </c>
      <c r="Z136" s="50">
        <v>40009.79208158563</v>
      </c>
      <c r="AA136" s="50">
        <v>40271.978906585624</v>
      </c>
      <c r="AB136" s="50">
        <v>40800.65603688562</v>
      </c>
      <c r="AC136" s="50">
        <v>41596.07661838563</v>
      </c>
      <c r="AD136" s="50">
        <v>42582.87550028563</v>
      </c>
      <c r="AE136" s="50">
        <v>44913.73877114028</v>
      </c>
      <c r="AG136" s="47"/>
    </row>
    <row r="137" spans="1:33" s="44" customFormat="1" ht="15">
      <c r="A137" s="57">
        <f t="shared" si="13"/>
        <v>47</v>
      </c>
      <c r="B137" s="58">
        <v>43730.57861026835</v>
      </c>
      <c r="C137" s="50">
        <v>37482.22067933562</v>
      </c>
      <c r="D137" s="50">
        <v>40381.374099085624</v>
      </c>
      <c r="E137" s="50">
        <v>41821.900843035626</v>
      </c>
      <c r="F137" s="50">
        <v>42974.311389085626</v>
      </c>
      <c r="G137" s="50">
        <v>43549.20572798562</v>
      </c>
      <c r="H137" s="50">
        <v>44106.96622442996</v>
      </c>
      <c r="I137" s="50">
        <v>44540.19959908562</v>
      </c>
      <c r="J137" s="50">
        <v>44996.67578559953</v>
      </c>
      <c r="K137" s="50">
        <v>45760.00120008563</v>
      </c>
      <c r="L137" s="50">
        <v>46915.43141508562</v>
      </c>
      <c r="M137" s="50">
        <v>51311.14632784312</v>
      </c>
      <c r="S137" s="57">
        <f t="shared" si="12"/>
        <v>47</v>
      </c>
      <c r="T137" s="58">
        <v>39938.438610027595</v>
      </c>
      <c r="U137" s="50">
        <v>29223.884853101288</v>
      </c>
      <c r="V137" s="50">
        <v>37978.296234085625</v>
      </c>
      <c r="W137" s="50">
        <v>38279.97072812813</v>
      </c>
      <c r="X137" s="50">
        <v>39019.65709836063</v>
      </c>
      <c r="Y137" s="50">
        <v>39472.595720589816</v>
      </c>
      <c r="Z137" s="50">
        <v>40063.94722233563</v>
      </c>
      <c r="AA137" s="50">
        <v>40477.04516743562</v>
      </c>
      <c r="AB137" s="50">
        <v>40981.88137851062</v>
      </c>
      <c r="AC137" s="50">
        <v>41784.00128543563</v>
      </c>
      <c r="AD137" s="50">
        <v>42870.75663413562</v>
      </c>
      <c r="AE137" s="50">
        <v>46127.31273666189</v>
      </c>
      <c r="AG137" s="47"/>
    </row>
    <row r="138" spans="1:33" s="44" customFormat="1" ht="15">
      <c r="A138" s="57">
        <f t="shared" si="13"/>
        <v>48</v>
      </c>
      <c r="B138" s="58">
        <v>43934.80261607373</v>
      </c>
      <c r="C138" s="50">
        <v>37903.030533460624</v>
      </c>
      <c r="D138" s="50">
        <v>40750.506025910625</v>
      </c>
      <c r="E138" s="50">
        <v>42299.85838408562</v>
      </c>
      <c r="F138" s="50">
        <v>43150.60942658563</v>
      </c>
      <c r="G138" s="50">
        <v>43712.05086908563</v>
      </c>
      <c r="H138" s="50">
        <v>44287.86738233562</v>
      </c>
      <c r="I138" s="50">
        <v>44784.148808431084</v>
      </c>
      <c r="J138" s="50">
        <v>45163.42299358047</v>
      </c>
      <c r="K138" s="50">
        <v>45813.161839085624</v>
      </c>
      <c r="L138" s="50">
        <v>46961.1162119982</v>
      </c>
      <c r="M138" s="50">
        <v>51348.63678358687</v>
      </c>
      <c r="S138" s="57">
        <f t="shared" si="12"/>
        <v>48</v>
      </c>
      <c r="T138" s="58">
        <v>40254.86346930658</v>
      </c>
      <c r="U138" s="50">
        <v>29577.565839101288</v>
      </c>
      <c r="V138" s="50">
        <v>37978.296234085625</v>
      </c>
      <c r="W138" s="50">
        <v>38529.01513953563</v>
      </c>
      <c r="X138" s="50">
        <v>39297.54801008563</v>
      </c>
      <c r="Y138" s="50">
        <v>39891.13898188563</v>
      </c>
      <c r="Z138" s="50">
        <v>40371.833920362296</v>
      </c>
      <c r="AA138" s="50">
        <v>40833.42034908562</v>
      </c>
      <c r="AB138" s="50">
        <v>41290.81882668563</v>
      </c>
      <c r="AC138" s="50">
        <v>42183.33894268562</v>
      </c>
      <c r="AD138" s="50">
        <v>43310.627249893354</v>
      </c>
      <c r="AE138" s="50">
        <v>46237.00040308562</v>
      </c>
      <c r="AG138" s="47"/>
    </row>
    <row r="139" spans="1:33" s="44" customFormat="1" ht="15">
      <c r="A139" s="57">
        <f t="shared" si="13"/>
        <v>49</v>
      </c>
      <c r="B139" s="58">
        <v>44214.26585079404</v>
      </c>
      <c r="C139" s="50">
        <v>37825.05255533563</v>
      </c>
      <c r="D139" s="50">
        <v>40986.57361858563</v>
      </c>
      <c r="E139" s="50">
        <v>42589.16798408563</v>
      </c>
      <c r="F139" s="50">
        <v>43429.974009085636</v>
      </c>
      <c r="G139" s="50">
        <v>43978.577338085626</v>
      </c>
      <c r="H139" s="50">
        <v>44487.76223408562</v>
      </c>
      <c r="I139" s="50">
        <v>44930.76755908562</v>
      </c>
      <c r="J139" s="50">
        <v>45464.18213408561</v>
      </c>
      <c r="K139" s="50">
        <v>46051.84225908563</v>
      </c>
      <c r="L139" s="50">
        <v>47172.91695908562</v>
      </c>
      <c r="M139" s="50">
        <v>51364.46608712312</v>
      </c>
      <c r="S139" s="57">
        <f t="shared" si="12"/>
        <v>49</v>
      </c>
      <c r="T139" s="58">
        <v>40285.76868247718</v>
      </c>
      <c r="U139" s="50">
        <v>29660.040519556518</v>
      </c>
      <c r="V139" s="50">
        <v>37978.296234085625</v>
      </c>
      <c r="W139" s="50">
        <v>38508.00402983563</v>
      </c>
      <c r="X139" s="50">
        <v>39118.28454918563</v>
      </c>
      <c r="Y139" s="50">
        <v>39650.881137938006</v>
      </c>
      <c r="Z139" s="50">
        <v>40231.02351633563</v>
      </c>
      <c r="AA139" s="50">
        <v>40724.49528468563</v>
      </c>
      <c r="AB139" s="50">
        <v>41361.64543313563</v>
      </c>
      <c r="AC139" s="50">
        <v>42187.841323335626</v>
      </c>
      <c r="AD139" s="50">
        <v>43310.627249893354</v>
      </c>
      <c r="AE139" s="50">
        <v>45850.34535542562</v>
      </c>
      <c r="AG139" s="47"/>
    </row>
    <row r="140" spans="1:33" s="44" customFormat="1" ht="15">
      <c r="A140" s="57">
        <f t="shared" si="13"/>
        <v>50</v>
      </c>
      <c r="B140" s="58">
        <v>44197.65737799577</v>
      </c>
      <c r="C140" s="50">
        <v>35798.32770097693</v>
      </c>
      <c r="D140" s="50">
        <v>40386.38277153563</v>
      </c>
      <c r="E140" s="50">
        <v>42544.90361528563</v>
      </c>
      <c r="F140" s="50">
        <v>43432.68628658563</v>
      </c>
      <c r="G140" s="50">
        <v>44051.0719779232</v>
      </c>
      <c r="H140" s="50">
        <v>44512.26559565788</v>
      </c>
      <c r="I140" s="50">
        <v>44981.39673908563</v>
      </c>
      <c r="J140" s="50">
        <v>45588.11245463982</v>
      </c>
      <c r="K140" s="50">
        <v>46220.00346408563</v>
      </c>
      <c r="L140" s="50">
        <v>47312.34121849923</v>
      </c>
      <c r="M140" s="50">
        <v>51063.62252705438</v>
      </c>
      <c r="S140" s="57">
        <f t="shared" si="12"/>
        <v>50</v>
      </c>
      <c r="T140" s="58">
        <v>40493.43965976764</v>
      </c>
      <c r="U140" s="50">
        <v>29332.03296427276</v>
      </c>
      <c r="V140" s="50">
        <v>37978.296234085625</v>
      </c>
      <c r="W140" s="50">
        <v>38511.65656353563</v>
      </c>
      <c r="X140" s="50">
        <v>39149.25875823563</v>
      </c>
      <c r="Y140" s="50">
        <v>40087.36321808564</v>
      </c>
      <c r="Z140" s="50">
        <v>40564.49803496062</v>
      </c>
      <c r="AA140" s="50">
        <v>40974.20563318563</v>
      </c>
      <c r="AB140" s="50">
        <v>41584.60855417172</v>
      </c>
      <c r="AC140" s="50">
        <v>42274.54379408563</v>
      </c>
      <c r="AD140" s="50">
        <v>43386.613732785634</v>
      </c>
      <c r="AE140" s="50">
        <v>47004.88232703563</v>
      </c>
      <c r="AG140" s="47"/>
    </row>
    <row r="141" spans="1:33" s="44" customFormat="1" ht="15">
      <c r="A141" s="57">
        <f t="shared" si="13"/>
        <v>51</v>
      </c>
      <c r="B141" s="58">
        <v>44308.42184804843</v>
      </c>
      <c r="C141" s="50">
        <v>34939.56936755623</v>
      </c>
      <c r="D141" s="50">
        <v>40986.57361858563</v>
      </c>
      <c r="E141" s="50">
        <v>42706.70000908563</v>
      </c>
      <c r="F141" s="50">
        <v>43474.00331383562</v>
      </c>
      <c r="G141" s="50">
        <v>44060.54458117957</v>
      </c>
      <c r="H141" s="50">
        <v>44493.81325151654</v>
      </c>
      <c r="I141" s="50">
        <v>44983.91874657504</v>
      </c>
      <c r="J141" s="50">
        <v>45561.87090397515</v>
      </c>
      <c r="K141" s="50">
        <v>46345.55100931266</v>
      </c>
      <c r="L141" s="50">
        <v>47933.16834233563</v>
      </c>
      <c r="M141" s="50">
        <v>51093.28806221063</v>
      </c>
      <c r="Q141" s="58"/>
      <c r="S141" s="57">
        <f t="shared" si="12"/>
        <v>51</v>
      </c>
      <c r="T141" s="58">
        <v>40759.50838652581</v>
      </c>
      <c r="U141" s="50">
        <v>32713.159181048435</v>
      </c>
      <c r="V141" s="50">
        <v>37978.296234085625</v>
      </c>
      <c r="W141" s="50">
        <v>38755.36373783563</v>
      </c>
      <c r="X141" s="50">
        <v>39385.028000385624</v>
      </c>
      <c r="Y141" s="50">
        <v>40251.49217053563</v>
      </c>
      <c r="Z141" s="50">
        <v>40825.73556283563</v>
      </c>
      <c r="AA141" s="50">
        <v>41329.65864048562</v>
      </c>
      <c r="AB141" s="50">
        <v>42079.2409310963</v>
      </c>
      <c r="AC141" s="50">
        <v>42725.83060638563</v>
      </c>
      <c r="AD141" s="50">
        <v>43513.102165109034</v>
      </c>
      <c r="AE141" s="50">
        <v>46997.016722285625</v>
      </c>
      <c r="AG141" s="47"/>
    </row>
    <row r="142" spans="1:33" s="44" customFormat="1" ht="15">
      <c r="A142" s="57">
        <f t="shared" si="13"/>
        <v>52</v>
      </c>
      <c r="B142" s="58">
        <v>44616.36683274206</v>
      </c>
      <c r="C142" s="50">
        <v>34899.37323832093</v>
      </c>
      <c r="D142" s="50">
        <v>41775.39432483562</v>
      </c>
      <c r="E142" s="50">
        <v>42932.72313408563</v>
      </c>
      <c r="F142" s="50">
        <v>43827.774709085636</v>
      </c>
      <c r="G142" s="50">
        <v>44343.10743408563</v>
      </c>
      <c r="H142" s="50">
        <v>44921.72663408564</v>
      </c>
      <c r="I142" s="50">
        <v>45201.99530908563</v>
      </c>
      <c r="J142" s="50">
        <v>45813.47441110377</v>
      </c>
      <c r="K142" s="50">
        <v>46675.66608408563</v>
      </c>
      <c r="L142" s="50">
        <v>48320.95495911627</v>
      </c>
      <c r="M142" s="50">
        <v>51103.90210816062</v>
      </c>
      <c r="Q142" s="58"/>
      <c r="S142" s="57">
        <f t="shared" si="12"/>
        <v>52</v>
      </c>
      <c r="T142" s="58">
        <v>41000.25043929615</v>
      </c>
      <c r="U142" s="50">
        <v>32530.43291712731</v>
      </c>
      <c r="V142" s="50">
        <v>37978.296234085625</v>
      </c>
      <c r="W142" s="50">
        <v>38983.73750333563</v>
      </c>
      <c r="X142" s="50">
        <v>39627.598472957885</v>
      </c>
      <c r="Y142" s="50">
        <v>40497.53190348563</v>
      </c>
      <c r="Z142" s="50">
        <v>41115.49720908563</v>
      </c>
      <c r="AA142" s="50">
        <v>41777.329082785625</v>
      </c>
      <c r="AB142" s="50">
        <v>42263.694684085625</v>
      </c>
      <c r="AC142" s="50">
        <v>43035.78967908563</v>
      </c>
      <c r="AD142" s="50">
        <v>44064.67147216661</v>
      </c>
      <c r="AE142" s="50">
        <v>46899.925324618125</v>
      </c>
      <c r="AG142" s="47"/>
    </row>
    <row r="143" spans="1:33" s="44" customFormat="1" ht="15">
      <c r="A143" s="57">
        <f t="shared" si="13"/>
        <v>53</v>
      </c>
      <c r="B143" s="58">
        <v>45090.6523212603</v>
      </c>
      <c r="C143" s="50">
        <v>34883.29478662681</v>
      </c>
      <c r="D143" s="50">
        <v>42138.929919085625</v>
      </c>
      <c r="E143" s="50">
        <v>43194.186685085624</v>
      </c>
      <c r="F143" s="50">
        <v>44093.198185235626</v>
      </c>
      <c r="G143" s="50">
        <v>44617.951554085615</v>
      </c>
      <c r="H143" s="50">
        <v>45075.42235908563</v>
      </c>
      <c r="I143" s="50">
        <v>45616.12161273517</v>
      </c>
      <c r="J143" s="50">
        <v>46357.42552408562</v>
      </c>
      <c r="K143" s="50">
        <v>47151.218420096666</v>
      </c>
      <c r="L143" s="50">
        <v>49328.68212889562</v>
      </c>
      <c r="M143" s="50">
        <v>51351.74550564812</v>
      </c>
      <c r="Q143" s="58"/>
      <c r="S143" s="57">
        <f t="shared" si="12"/>
        <v>53</v>
      </c>
      <c r="T143" s="58">
        <v>40983.68032325257</v>
      </c>
      <c r="U143" s="50">
        <v>32545.90449073841</v>
      </c>
      <c r="V143" s="50">
        <v>37978.296234085625</v>
      </c>
      <c r="W143" s="50">
        <v>38987.54205630239</v>
      </c>
      <c r="X143" s="50">
        <v>39593.32187146063</v>
      </c>
      <c r="Y143" s="50">
        <v>40365.10043408562</v>
      </c>
      <c r="Z143" s="50">
        <v>41220.010302085626</v>
      </c>
      <c r="AA143" s="50">
        <v>41947.26230908563</v>
      </c>
      <c r="AB143" s="50">
        <v>42467.48081581901</v>
      </c>
      <c r="AC143" s="50">
        <v>43050.25515908563</v>
      </c>
      <c r="AD143" s="50">
        <v>43913.69415668685</v>
      </c>
      <c r="AE143" s="50">
        <v>46899.657261191875</v>
      </c>
      <c r="AG143" s="47"/>
    </row>
    <row r="144" spans="1:33" s="44" customFormat="1" ht="15">
      <c r="A144" s="57">
        <f t="shared" si="13"/>
        <v>54</v>
      </c>
      <c r="B144" s="58">
        <v>45293.25663118426</v>
      </c>
      <c r="C144" s="50">
        <v>34791.0848140577</v>
      </c>
      <c r="D144" s="50">
        <v>42692.58452768989</v>
      </c>
      <c r="E144" s="50">
        <v>43681.13090558563</v>
      </c>
      <c r="F144" s="50">
        <v>44317.79284408563</v>
      </c>
      <c r="G144" s="50">
        <v>44959.16127457412</v>
      </c>
      <c r="H144" s="50">
        <v>45317.71914908562</v>
      </c>
      <c r="I144" s="50">
        <v>45881.96573315788</v>
      </c>
      <c r="J144" s="50">
        <v>46501.176231585625</v>
      </c>
      <c r="K144" s="50">
        <v>47634.58275328563</v>
      </c>
      <c r="L144" s="50">
        <v>49333.080538908114</v>
      </c>
      <c r="M144" s="50">
        <v>51489.06404705687</v>
      </c>
      <c r="Q144" s="58"/>
      <c r="S144" s="57">
        <f t="shared" si="12"/>
        <v>54</v>
      </c>
      <c r="T144" s="58">
        <v>41072.91221999689</v>
      </c>
      <c r="U144" s="50">
        <v>32350.402591016322</v>
      </c>
      <c r="V144" s="50">
        <v>37978.296234085625</v>
      </c>
      <c r="W144" s="50">
        <v>39082.04852178563</v>
      </c>
      <c r="X144" s="50">
        <v>40039.77830215875</v>
      </c>
      <c r="Y144" s="50">
        <v>40811.975274985634</v>
      </c>
      <c r="Z144" s="50">
        <v>41481.663682818864</v>
      </c>
      <c r="AA144" s="50">
        <v>42100.92970960162</v>
      </c>
      <c r="AB144" s="50">
        <v>42521.19830993562</v>
      </c>
      <c r="AC144" s="50">
        <v>43118.74920688563</v>
      </c>
      <c r="AD144" s="50">
        <v>43930.87804620709</v>
      </c>
      <c r="AE144" s="50">
        <v>46902.605958880624</v>
      </c>
      <c r="AG144" s="47"/>
    </row>
    <row r="145" spans="1:33" s="44" customFormat="1" ht="15">
      <c r="A145" s="57">
        <f t="shared" si="13"/>
        <v>55</v>
      </c>
      <c r="B145" s="58">
        <v>45573.8849879157</v>
      </c>
      <c r="C145" s="50">
        <v>35594.76627409165</v>
      </c>
      <c r="D145" s="50">
        <v>42989.18635311804</v>
      </c>
      <c r="E145" s="50">
        <v>44011.95643318563</v>
      </c>
      <c r="F145" s="50">
        <v>44597.23879491063</v>
      </c>
      <c r="G145" s="50">
        <v>45084.46328408563</v>
      </c>
      <c r="H145" s="50">
        <v>45402.88882109893</v>
      </c>
      <c r="I145" s="50">
        <v>45953.26001288563</v>
      </c>
      <c r="J145" s="50">
        <v>46569.88726158562</v>
      </c>
      <c r="K145" s="50">
        <v>47677.03893708563</v>
      </c>
      <c r="L145" s="50">
        <v>49187.48819498563</v>
      </c>
      <c r="M145" s="50">
        <v>51565.206880914804</v>
      </c>
      <c r="Q145" s="58"/>
      <c r="S145" s="57">
        <f t="shared" si="12"/>
        <v>55</v>
      </c>
      <c r="T145" s="58">
        <v>41148.72657317892</v>
      </c>
      <c r="U145" s="50">
        <v>34148.744756291664</v>
      </c>
      <c r="V145" s="50">
        <v>37978.296234085625</v>
      </c>
      <c r="W145" s="50">
        <v>39197.537297735624</v>
      </c>
      <c r="X145" s="50">
        <v>40135.39765261063</v>
      </c>
      <c r="Y145" s="50">
        <v>41118.53495988563</v>
      </c>
      <c r="Z145" s="50">
        <v>41750.51218524546</v>
      </c>
      <c r="AA145" s="50">
        <v>42124.012392835626</v>
      </c>
      <c r="AB145" s="50">
        <v>42521.16214623562</v>
      </c>
      <c r="AC145" s="50">
        <v>43196.862798885624</v>
      </c>
      <c r="AD145" s="50">
        <v>43773.104235610626</v>
      </c>
      <c r="AE145" s="50">
        <v>46599.63190483563</v>
      </c>
      <c r="AG145" s="47"/>
    </row>
    <row r="146" spans="1:256" s="44" customFormat="1" ht="15">
      <c r="A146" s="57">
        <f t="shared" si="13"/>
        <v>56</v>
      </c>
      <c r="B146" s="58">
        <v>45853.264486357875</v>
      </c>
      <c r="C146" s="50">
        <v>39603.10370026437</v>
      </c>
      <c r="D146" s="50">
        <v>43535.752831585625</v>
      </c>
      <c r="E146" s="50">
        <v>44343.957281035626</v>
      </c>
      <c r="F146" s="50">
        <v>44969.90571173702</v>
      </c>
      <c r="G146" s="50">
        <v>45228.21399158562</v>
      </c>
      <c r="H146" s="50">
        <v>45672.12340908562</v>
      </c>
      <c r="I146" s="50">
        <v>46276.057199085626</v>
      </c>
      <c r="J146" s="50">
        <v>46673.857899085626</v>
      </c>
      <c r="K146" s="50">
        <v>47686.80313608563</v>
      </c>
      <c r="L146" s="50">
        <v>48946.28374533008</v>
      </c>
      <c r="M146" s="50">
        <v>51603.37646038762</v>
      </c>
      <c r="N146" s="33"/>
      <c r="O146" s="33"/>
      <c r="P146" s="33"/>
      <c r="Q146" s="58"/>
      <c r="R146" s="33"/>
      <c r="S146" s="57">
        <f t="shared" si="12"/>
        <v>56</v>
      </c>
      <c r="T146" s="58">
        <v>41234.26271785567</v>
      </c>
      <c r="U146" s="50">
        <v>33696.77027852573</v>
      </c>
      <c r="V146" s="50">
        <v>38183.930070362294</v>
      </c>
      <c r="W146" s="50">
        <v>39310.856251685625</v>
      </c>
      <c r="X146" s="50">
        <v>40137.214878535626</v>
      </c>
      <c r="Y146" s="50">
        <v>41106.46440481215</v>
      </c>
      <c r="Z146" s="50">
        <v>41743.6214864053</v>
      </c>
      <c r="AA146" s="50">
        <v>42189.55909908563</v>
      </c>
      <c r="AB146" s="50">
        <v>42706.300038563626</v>
      </c>
      <c r="AC146" s="50">
        <v>43313.273749185624</v>
      </c>
      <c r="AD146" s="50">
        <v>43927.237148126114</v>
      </c>
      <c r="AE146" s="50">
        <v>46962.65307045311</v>
      </c>
      <c r="AF146" s="33"/>
      <c r="AG146" s="34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3"/>
      <c r="DT146" s="33"/>
      <c r="DU146" s="33"/>
      <c r="DV146" s="33"/>
      <c r="DW146" s="33"/>
      <c r="DX146" s="33"/>
      <c r="DY146" s="33"/>
      <c r="DZ146" s="33"/>
      <c r="EA146" s="33"/>
      <c r="EB146" s="33"/>
      <c r="EC146" s="33"/>
      <c r="ED146" s="33"/>
      <c r="EE146" s="33"/>
      <c r="EF146" s="33"/>
      <c r="EG146" s="33"/>
      <c r="EH146" s="33"/>
      <c r="EI146" s="33"/>
      <c r="EJ146" s="33"/>
      <c r="EK146" s="33"/>
      <c r="EL146" s="33"/>
      <c r="EM146" s="33"/>
      <c r="EN146" s="33"/>
      <c r="EO146" s="33"/>
      <c r="EP146" s="33"/>
      <c r="EQ146" s="33"/>
      <c r="ER146" s="33"/>
      <c r="ES146" s="33"/>
      <c r="ET146" s="33"/>
      <c r="EU146" s="33"/>
      <c r="EV146" s="33"/>
      <c r="EW146" s="33"/>
      <c r="EX146" s="33"/>
      <c r="EY146" s="33"/>
      <c r="EZ146" s="33"/>
      <c r="FA146" s="33"/>
      <c r="FB146" s="33"/>
      <c r="FC146" s="33"/>
      <c r="FD146" s="33"/>
      <c r="FE146" s="33"/>
      <c r="FF146" s="33"/>
      <c r="FG146" s="33"/>
      <c r="FH146" s="33"/>
      <c r="FI146" s="33"/>
      <c r="FJ146" s="33"/>
      <c r="FK146" s="33"/>
      <c r="FL146" s="33"/>
      <c r="FM146" s="33"/>
      <c r="FN146" s="33"/>
      <c r="FO146" s="33"/>
      <c r="FP146" s="33"/>
      <c r="FQ146" s="33"/>
      <c r="FR146" s="33"/>
      <c r="FS146" s="33"/>
      <c r="FT146" s="33"/>
      <c r="FU146" s="33"/>
      <c r="FV146" s="33"/>
      <c r="FW146" s="33"/>
      <c r="FX146" s="33"/>
      <c r="FY146" s="33"/>
      <c r="FZ146" s="33"/>
      <c r="GA146" s="33"/>
      <c r="GB146" s="33"/>
      <c r="GC146" s="33"/>
      <c r="GD146" s="33"/>
      <c r="GE146" s="33"/>
      <c r="GF146" s="33"/>
      <c r="GG146" s="33"/>
      <c r="GH146" s="33"/>
      <c r="GI146" s="33"/>
      <c r="GJ146" s="33"/>
      <c r="GK146" s="33"/>
      <c r="GL146" s="33"/>
      <c r="GM146" s="33"/>
      <c r="GN146" s="33"/>
      <c r="GO146" s="33"/>
      <c r="GP146" s="33"/>
      <c r="GQ146" s="33"/>
      <c r="GR146" s="33"/>
      <c r="GS146" s="33"/>
      <c r="GT146" s="33"/>
      <c r="GU146" s="33"/>
      <c r="GV146" s="33"/>
      <c r="GW146" s="33"/>
      <c r="GX146" s="33"/>
      <c r="GY146" s="33"/>
      <c r="GZ146" s="33"/>
      <c r="HA146" s="33"/>
      <c r="HB146" s="33"/>
      <c r="HC146" s="33"/>
      <c r="HD146" s="33"/>
      <c r="HE146" s="33"/>
      <c r="HF146" s="33"/>
      <c r="HG146" s="33"/>
      <c r="HH146" s="33"/>
      <c r="HI146" s="33"/>
      <c r="HJ146" s="33"/>
      <c r="HK146" s="33"/>
      <c r="HL146" s="33"/>
      <c r="HM146" s="33"/>
      <c r="HN146" s="33"/>
      <c r="HO146" s="33"/>
      <c r="HP146" s="33"/>
      <c r="HQ146" s="33"/>
      <c r="HR146" s="33"/>
      <c r="HS146" s="33"/>
      <c r="HT146" s="33"/>
      <c r="HU146" s="33"/>
      <c r="HV146" s="33"/>
      <c r="HW146" s="33"/>
      <c r="HX146" s="33"/>
      <c r="HY146" s="33"/>
      <c r="HZ146" s="33"/>
      <c r="IA146" s="33"/>
      <c r="IB146" s="33"/>
      <c r="IC146" s="33"/>
      <c r="ID146" s="33"/>
      <c r="IE146" s="33"/>
      <c r="IF146" s="33"/>
      <c r="IG146" s="33"/>
      <c r="IH146" s="33"/>
      <c r="II146" s="33"/>
      <c r="IJ146" s="33"/>
      <c r="IK146" s="33"/>
      <c r="IL146" s="33"/>
      <c r="IM146" s="33"/>
      <c r="IN146" s="33"/>
      <c r="IO146" s="33"/>
      <c r="IP146" s="33"/>
      <c r="IQ146" s="33"/>
      <c r="IR146" s="33"/>
      <c r="IS146" s="33"/>
      <c r="IT146" s="33"/>
      <c r="IU146" s="33"/>
      <c r="IV146" s="33"/>
    </row>
    <row r="147" spans="1:256" s="44" customFormat="1" ht="15">
      <c r="A147" s="57">
        <f t="shared" si="13"/>
        <v>57</v>
      </c>
      <c r="B147" s="58">
        <v>45811.477051674294</v>
      </c>
      <c r="C147" s="50">
        <v>40797.25348476187</v>
      </c>
      <c r="D147" s="50">
        <v>43303.039422085625</v>
      </c>
      <c r="E147" s="50">
        <v>44247.356778746325</v>
      </c>
      <c r="F147" s="50">
        <v>44960.60261158563</v>
      </c>
      <c r="G147" s="50">
        <v>45196.57075408563</v>
      </c>
      <c r="H147" s="50">
        <v>45658.91868607688</v>
      </c>
      <c r="I147" s="50">
        <v>46262.49581158563</v>
      </c>
      <c r="J147" s="50">
        <v>46764.954259385624</v>
      </c>
      <c r="K147" s="50">
        <v>47572.93829108413</v>
      </c>
      <c r="L147" s="50">
        <v>48868.97433520349</v>
      </c>
      <c r="M147" s="50">
        <v>53098.10065023857</v>
      </c>
      <c r="N147" s="63"/>
      <c r="O147" s="63"/>
      <c r="P147" s="63"/>
      <c r="Q147" s="58"/>
      <c r="R147" s="63"/>
      <c r="S147" s="57">
        <f t="shared" si="12"/>
        <v>57</v>
      </c>
      <c r="T147" s="58">
        <v>41293.11014948906</v>
      </c>
      <c r="U147" s="50">
        <v>35619.78714903271</v>
      </c>
      <c r="V147" s="50">
        <v>38060.54976859629</v>
      </c>
      <c r="W147" s="50">
        <v>39296.290920940955</v>
      </c>
      <c r="X147" s="50">
        <v>40191.51467408562</v>
      </c>
      <c r="Y147" s="50">
        <v>41134.53555673868</v>
      </c>
      <c r="Z147" s="50">
        <v>41558.50253408563</v>
      </c>
      <c r="AA147" s="50">
        <v>42045.06703573563</v>
      </c>
      <c r="AB147" s="50">
        <v>42521.19830993562</v>
      </c>
      <c r="AC147" s="50">
        <v>43285.753173485624</v>
      </c>
      <c r="AD147" s="50">
        <v>43906.06911958563</v>
      </c>
      <c r="AE147" s="50">
        <v>47283.76593232564</v>
      </c>
      <c r="AF147" s="63"/>
      <c r="AG147" s="64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  <c r="DJ147" s="63"/>
      <c r="DK147" s="63"/>
      <c r="DL147" s="63"/>
      <c r="DM147" s="63"/>
      <c r="DN147" s="63"/>
      <c r="DO147" s="63"/>
      <c r="DP147" s="63"/>
      <c r="DQ147" s="63"/>
      <c r="DR147" s="63"/>
      <c r="DS147" s="63"/>
      <c r="DT147" s="63"/>
      <c r="DU147" s="63"/>
      <c r="DV147" s="63"/>
      <c r="DW147" s="63"/>
      <c r="DX147" s="63"/>
      <c r="DY147" s="63"/>
      <c r="DZ147" s="63"/>
      <c r="EA147" s="63"/>
      <c r="EB147" s="63"/>
      <c r="EC147" s="63"/>
      <c r="ED147" s="63"/>
      <c r="EE147" s="63"/>
      <c r="EF147" s="63"/>
      <c r="EG147" s="63"/>
      <c r="EH147" s="63"/>
      <c r="EI147" s="63"/>
      <c r="EJ147" s="63"/>
      <c r="EK147" s="63"/>
      <c r="EL147" s="63"/>
      <c r="EM147" s="63"/>
      <c r="EN147" s="63"/>
      <c r="EO147" s="63"/>
      <c r="EP147" s="63"/>
      <c r="EQ147" s="63"/>
      <c r="ER147" s="63"/>
      <c r="ES147" s="63"/>
      <c r="ET147" s="63"/>
      <c r="EU147" s="63"/>
      <c r="EV147" s="63"/>
      <c r="EW147" s="63"/>
      <c r="EX147" s="63"/>
      <c r="EY147" s="63"/>
      <c r="EZ147" s="63"/>
      <c r="FA147" s="63"/>
      <c r="FB147" s="63"/>
      <c r="FC147" s="63"/>
      <c r="FD147" s="63"/>
      <c r="FE147" s="63"/>
      <c r="FF147" s="63"/>
      <c r="FG147" s="63"/>
      <c r="FH147" s="63"/>
      <c r="FI147" s="63"/>
      <c r="FJ147" s="63"/>
      <c r="FK147" s="63"/>
      <c r="FL147" s="63"/>
      <c r="FM147" s="63"/>
      <c r="FN147" s="63"/>
      <c r="FO147" s="63"/>
      <c r="FP147" s="63"/>
      <c r="FQ147" s="63"/>
      <c r="FR147" s="63"/>
      <c r="FS147" s="63"/>
      <c r="FT147" s="63"/>
      <c r="FU147" s="63"/>
      <c r="FV147" s="63"/>
      <c r="FW147" s="63"/>
      <c r="FX147" s="63"/>
      <c r="FY147" s="63"/>
      <c r="FZ147" s="63"/>
      <c r="GA147" s="63"/>
      <c r="GB147" s="63"/>
      <c r="GC147" s="63"/>
      <c r="GD147" s="63"/>
      <c r="GE147" s="63"/>
      <c r="GF147" s="63"/>
      <c r="GG147" s="63"/>
      <c r="GH147" s="63"/>
      <c r="GI147" s="63"/>
      <c r="GJ147" s="63"/>
      <c r="GK147" s="63"/>
      <c r="GL147" s="63"/>
      <c r="GM147" s="63"/>
      <c r="GN147" s="63"/>
      <c r="GO147" s="63"/>
      <c r="GP147" s="63"/>
      <c r="GQ147" s="63"/>
      <c r="GR147" s="63"/>
      <c r="GS147" s="63"/>
      <c r="GT147" s="63"/>
      <c r="GU147" s="63"/>
      <c r="GV147" s="63"/>
      <c r="GW147" s="63"/>
      <c r="GX147" s="63"/>
      <c r="GY147" s="63"/>
      <c r="GZ147" s="63"/>
      <c r="HA147" s="63"/>
      <c r="HB147" s="63"/>
      <c r="HC147" s="63"/>
      <c r="HD147" s="63"/>
      <c r="HE147" s="63"/>
      <c r="HF147" s="63"/>
      <c r="HG147" s="63"/>
      <c r="HH147" s="63"/>
      <c r="HI147" s="63"/>
      <c r="HJ147" s="63"/>
      <c r="HK147" s="63"/>
      <c r="HL147" s="63"/>
      <c r="HM147" s="63"/>
      <c r="HN147" s="63"/>
      <c r="HO147" s="63"/>
      <c r="HP147" s="63"/>
      <c r="HQ147" s="63"/>
      <c r="HR147" s="63"/>
      <c r="HS147" s="63"/>
      <c r="HT147" s="63"/>
      <c r="HU147" s="63"/>
      <c r="HV147" s="63"/>
      <c r="HW147" s="63"/>
      <c r="HX147" s="63"/>
      <c r="HY147" s="63"/>
      <c r="HZ147" s="63"/>
      <c r="IA147" s="63"/>
      <c r="IB147" s="63"/>
      <c r="IC147" s="63"/>
      <c r="ID147" s="63"/>
      <c r="IE147" s="63"/>
      <c r="IF147" s="63"/>
      <c r="IG147" s="63"/>
      <c r="IH147" s="63"/>
      <c r="II147" s="63"/>
      <c r="IJ147" s="63"/>
      <c r="IK147" s="63"/>
      <c r="IL147" s="63"/>
      <c r="IM147" s="63"/>
      <c r="IN147" s="63"/>
      <c r="IO147" s="63"/>
      <c r="IP147" s="63"/>
      <c r="IQ147" s="63"/>
      <c r="IR147" s="63"/>
      <c r="IS147" s="63"/>
      <c r="IT147" s="63"/>
      <c r="IU147" s="63"/>
      <c r="IV147" s="63"/>
    </row>
    <row r="148" spans="1:33" s="44" customFormat="1" ht="15">
      <c r="A148" s="57">
        <f t="shared" si="13"/>
        <v>58</v>
      </c>
      <c r="B148" s="58">
        <v>45541.10671519774</v>
      </c>
      <c r="C148" s="50">
        <v>38018.75437346063</v>
      </c>
      <c r="D148" s="50">
        <v>43014.87801956063</v>
      </c>
      <c r="E148" s="50">
        <v>44126.12523408563</v>
      </c>
      <c r="F148" s="50">
        <v>44786.34491926626</v>
      </c>
      <c r="G148" s="50">
        <v>45180.47790758563</v>
      </c>
      <c r="H148" s="50">
        <v>45583.97439033562</v>
      </c>
      <c r="I148" s="50">
        <v>46171.18246908563</v>
      </c>
      <c r="J148" s="50">
        <v>46609.297948455736</v>
      </c>
      <c r="K148" s="50">
        <v>47379.35599398763</v>
      </c>
      <c r="L148" s="50">
        <v>48203.971168860626</v>
      </c>
      <c r="M148" s="50">
        <v>52065.74375166213</v>
      </c>
      <c r="Q148" s="58"/>
      <c r="S148" s="57">
        <f t="shared" si="12"/>
        <v>58</v>
      </c>
      <c r="T148" s="58">
        <v>41348.292442806785</v>
      </c>
      <c r="U148" s="50">
        <v>34142.416108791665</v>
      </c>
      <c r="V148" s="50">
        <v>37978.296234085625</v>
      </c>
      <c r="W148" s="50">
        <v>39310.856251685625</v>
      </c>
      <c r="X148" s="50">
        <v>40310.16777378562</v>
      </c>
      <c r="Y148" s="50">
        <v>41126.45112939173</v>
      </c>
      <c r="Z148" s="50">
        <v>41568.35714233562</v>
      </c>
      <c r="AA148" s="50">
        <v>42028.10584971185</v>
      </c>
      <c r="AB148" s="50">
        <v>42517.690431035626</v>
      </c>
      <c r="AC148" s="50">
        <v>43435.362400385624</v>
      </c>
      <c r="AD148" s="50">
        <v>44287.95779158563</v>
      </c>
      <c r="AE148" s="50">
        <v>47938.46632438563</v>
      </c>
      <c r="AG148" s="47"/>
    </row>
    <row r="149" spans="1:33" s="44" customFormat="1" ht="15">
      <c r="A149" s="57">
        <f t="shared" si="13"/>
        <v>59</v>
      </c>
      <c r="B149" s="58">
        <v>45748.808731728604</v>
      </c>
      <c r="C149" s="50">
        <v>40003.96068496062</v>
      </c>
      <c r="D149" s="50">
        <v>43021.53214036063</v>
      </c>
      <c r="E149" s="50">
        <v>44289.27776663563</v>
      </c>
      <c r="F149" s="50">
        <v>44996.67578559953</v>
      </c>
      <c r="G149" s="50">
        <v>45225.50171408563</v>
      </c>
      <c r="H149" s="50">
        <v>45694.81338295362</v>
      </c>
      <c r="I149" s="50">
        <v>46326.46824338494</v>
      </c>
      <c r="J149" s="50">
        <v>46663.840554185634</v>
      </c>
      <c r="K149" s="50">
        <v>47528.977878182624</v>
      </c>
      <c r="L149" s="50">
        <v>48433.22190408562</v>
      </c>
      <c r="M149" s="50">
        <v>55379.709872593216</v>
      </c>
      <c r="Q149" s="58"/>
      <c r="S149" s="57">
        <f t="shared" si="12"/>
        <v>59</v>
      </c>
      <c r="T149" s="58">
        <v>41482.91401551402</v>
      </c>
      <c r="U149" s="50">
        <v>35385.56978899449</v>
      </c>
      <c r="V149" s="50">
        <v>38488.76494143563</v>
      </c>
      <c r="W149" s="50">
        <v>39523.48072583562</v>
      </c>
      <c r="X149" s="50">
        <v>40658.31571368562</v>
      </c>
      <c r="Y149" s="50">
        <v>41320.50922438563</v>
      </c>
      <c r="Z149" s="50">
        <v>41568.35714233562</v>
      </c>
      <c r="AA149" s="50">
        <v>42131.40786948562</v>
      </c>
      <c r="AB149" s="50">
        <v>42676.91920213562</v>
      </c>
      <c r="AC149" s="50">
        <v>43504.33599309126</v>
      </c>
      <c r="AD149" s="50">
        <v>44461.81477933562</v>
      </c>
      <c r="AE149" s="50">
        <v>47950.942800885634</v>
      </c>
      <c r="AG149" s="47"/>
    </row>
    <row r="150" spans="1:33" s="44" customFormat="1" ht="15">
      <c r="A150" s="57">
        <f t="shared" si="13"/>
        <v>60</v>
      </c>
      <c r="B150" s="58">
        <v>45836.700816732504</v>
      </c>
      <c r="C150" s="50">
        <v>39962.914885460625</v>
      </c>
      <c r="D150" s="50">
        <v>43025.53727013563</v>
      </c>
      <c r="E150" s="50">
        <v>44317.95558073562</v>
      </c>
      <c r="F150" s="50">
        <v>44996.67578559953</v>
      </c>
      <c r="G150" s="50">
        <v>45270.37303154857</v>
      </c>
      <c r="H150" s="50">
        <v>45870.62411456079</v>
      </c>
      <c r="I150" s="50">
        <v>46415.90483341342</v>
      </c>
      <c r="J150" s="50">
        <v>46815.34837533563</v>
      </c>
      <c r="K150" s="50">
        <v>47634.004134085626</v>
      </c>
      <c r="L150" s="50">
        <v>48895.620013210624</v>
      </c>
      <c r="M150" s="50">
        <v>55405.22177174043</v>
      </c>
      <c r="Q150" s="58"/>
      <c r="S150" s="57">
        <f t="shared" si="12"/>
        <v>60</v>
      </c>
      <c r="T150" s="58">
        <v>41488.38007489828</v>
      </c>
      <c r="U150" s="50">
        <v>35223.41930896804</v>
      </c>
      <c r="V150" s="50">
        <v>38396.98147083563</v>
      </c>
      <c r="W150" s="50">
        <v>39560.22230733342</v>
      </c>
      <c r="X150" s="50">
        <v>40654.59085258562</v>
      </c>
      <c r="Y150" s="50">
        <v>41137.64747533562</v>
      </c>
      <c r="Z150" s="50">
        <v>41558.50253408563</v>
      </c>
      <c r="AA150" s="50">
        <v>42209.51762158447</v>
      </c>
      <c r="AB150" s="50">
        <v>42788.610789585626</v>
      </c>
      <c r="AC150" s="50">
        <v>43457.096784085625</v>
      </c>
      <c r="AD150" s="50">
        <v>44795.884322552396</v>
      </c>
      <c r="AE150" s="50">
        <v>47973.40045858563</v>
      </c>
      <c r="AG150" s="47"/>
    </row>
    <row r="151" spans="1:244" s="44" customFormat="1" ht="15">
      <c r="A151" s="57">
        <f t="shared" si="13"/>
        <v>61</v>
      </c>
      <c r="B151" s="58">
        <v>46056.58604383161</v>
      </c>
      <c r="C151" s="50">
        <v>39471.76663483563</v>
      </c>
      <c r="D151" s="50">
        <v>43778.140030835624</v>
      </c>
      <c r="E151" s="50">
        <v>44755.37361408563</v>
      </c>
      <c r="F151" s="50">
        <v>45191.76098198562</v>
      </c>
      <c r="G151" s="50">
        <v>45618.11830266816</v>
      </c>
      <c r="H151" s="50">
        <v>46072.07986472198</v>
      </c>
      <c r="I151" s="50">
        <v>46462.81148503376</v>
      </c>
      <c r="J151" s="50">
        <v>47014.03174313562</v>
      </c>
      <c r="K151" s="50">
        <v>47929.38923568562</v>
      </c>
      <c r="L151" s="50">
        <v>49085.117801210625</v>
      </c>
      <c r="M151" s="50">
        <v>54393.86081219183</v>
      </c>
      <c r="Q151" s="58"/>
      <c r="S151" s="57">
        <f t="shared" si="12"/>
        <v>61</v>
      </c>
      <c r="T151" s="58">
        <v>41379.22572162619</v>
      </c>
      <c r="U151" s="50">
        <v>35196.39422896363</v>
      </c>
      <c r="V151" s="50">
        <v>38035.25406158563</v>
      </c>
      <c r="W151" s="50">
        <v>39027.676398835625</v>
      </c>
      <c r="X151" s="50">
        <v>40597.10865143562</v>
      </c>
      <c r="Y151" s="50">
        <v>41450.01143408563</v>
      </c>
      <c r="Z151" s="50">
        <v>41450.06559703356</v>
      </c>
      <c r="AA151" s="50">
        <v>41856.96155018563</v>
      </c>
      <c r="AB151" s="50">
        <v>42782.47200151063</v>
      </c>
      <c r="AC151" s="50">
        <v>43505.23575306908</v>
      </c>
      <c r="AD151" s="50">
        <v>44712.59416632565</v>
      </c>
      <c r="AE151" s="50">
        <v>47759.55636365313</v>
      </c>
      <c r="AG151" s="47"/>
      <c r="AI151" s="48"/>
      <c r="AJ151" s="48"/>
      <c r="BB151" s="48"/>
      <c r="BC151" s="48"/>
      <c r="BI151" s="48"/>
      <c r="BJ151" s="48"/>
      <c r="CB151" s="48"/>
      <c r="CC151" s="48"/>
      <c r="CI151" s="48"/>
      <c r="CJ151" s="48"/>
      <c r="DB151" s="48"/>
      <c r="DC151" s="48"/>
      <c r="DI151" s="48"/>
      <c r="DJ151" s="48"/>
      <c r="EB151" s="48"/>
      <c r="EC151" s="48"/>
      <c r="EI151" s="48"/>
      <c r="EJ151" s="48"/>
      <c r="FB151" s="48"/>
      <c r="FC151" s="48"/>
      <c r="FI151" s="48"/>
      <c r="FJ151" s="48"/>
      <c r="GB151" s="48"/>
      <c r="GC151" s="48"/>
      <c r="GI151" s="48"/>
      <c r="GJ151" s="48"/>
      <c r="HB151" s="48"/>
      <c r="HC151" s="48"/>
      <c r="HI151" s="48"/>
      <c r="HJ151" s="48"/>
      <c r="IB151" s="48"/>
      <c r="IC151" s="48"/>
      <c r="II151" s="48"/>
      <c r="IJ151" s="48"/>
    </row>
    <row r="152" spans="1:244" s="44" customFormat="1" ht="15">
      <c r="A152" s="57"/>
      <c r="B152" s="58">
        <f aca="true" t="shared" si="14" ref="B152:M159">((0*(1.069683/1.057703))*(1.074972/1.057703))/(1.069683/1.057703)</f>
        <v>0</v>
      </c>
      <c r="C152" s="50">
        <f t="shared" si="14"/>
        <v>0</v>
      </c>
      <c r="D152" s="50">
        <f t="shared" si="14"/>
        <v>0</v>
      </c>
      <c r="E152" s="50">
        <f t="shared" si="14"/>
        <v>0</v>
      </c>
      <c r="F152" s="50">
        <f t="shared" si="14"/>
        <v>0</v>
      </c>
      <c r="G152" s="50">
        <f t="shared" si="14"/>
        <v>0</v>
      </c>
      <c r="H152" s="50">
        <f t="shared" si="14"/>
        <v>0</v>
      </c>
      <c r="I152" s="50">
        <f t="shared" si="14"/>
        <v>0</v>
      </c>
      <c r="J152" s="50">
        <f t="shared" si="14"/>
        <v>0</v>
      </c>
      <c r="K152" s="50">
        <f t="shared" si="14"/>
        <v>0</v>
      </c>
      <c r="L152" s="50">
        <f t="shared" si="14"/>
        <v>0</v>
      </c>
      <c r="M152" s="50">
        <f t="shared" si="14"/>
        <v>0</v>
      </c>
      <c r="Q152" s="58"/>
      <c r="S152" s="57"/>
      <c r="T152" s="58">
        <f aca="true" t="shared" si="15" ref="T152:AE159">((0*(1.069683/1.057703))*(1.074972/1.057703))/(1.069683/1.057703)</f>
        <v>0</v>
      </c>
      <c r="U152" s="50">
        <f t="shared" si="15"/>
        <v>0</v>
      </c>
      <c r="V152" s="50">
        <f t="shared" si="15"/>
        <v>0</v>
      </c>
      <c r="W152" s="50">
        <f t="shared" si="15"/>
        <v>0</v>
      </c>
      <c r="X152" s="50">
        <f t="shared" si="15"/>
        <v>0</v>
      </c>
      <c r="Y152" s="50">
        <f t="shared" si="15"/>
        <v>0</v>
      </c>
      <c r="Z152" s="50">
        <f t="shared" si="15"/>
        <v>0</v>
      </c>
      <c r="AA152" s="50">
        <f t="shared" si="15"/>
        <v>0</v>
      </c>
      <c r="AB152" s="50">
        <f t="shared" si="15"/>
        <v>0</v>
      </c>
      <c r="AC152" s="50">
        <f t="shared" si="15"/>
        <v>0</v>
      </c>
      <c r="AD152" s="50">
        <f t="shared" si="15"/>
        <v>0</v>
      </c>
      <c r="AE152" s="50">
        <f t="shared" si="15"/>
        <v>0</v>
      </c>
      <c r="AG152" s="47"/>
      <c r="AI152" s="48"/>
      <c r="AJ152" s="48"/>
      <c r="BB152" s="48"/>
      <c r="BC152" s="48"/>
      <c r="BI152" s="48"/>
      <c r="BJ152" s="48"/>
      <c r="CB152" s="48"/>
      <c r="CC152" s="48"/>
      <c r="CI152" s="48"/>
      <c r="CJ152" s="48"/>
      <c r="DB152" s="48"/>
      <c r="DC152" s="48"/>
      <c r="DI152" s="48"/>
      <c r="DJ152" s="48"/>
      <c r="EB152" s="48"/>
      <c r="EC152" s="48"/>
      <c r="EI152" s="48"/>
      <c r="EJ152" s="48"/>
      <c r="FB152" s="48"/>
      <c r="FC152" s="48"/>
      <c r="FI152" s="48"/>
      <c r="FJ152" s="48"/>
      <c r="GB152" s="48"/>
      <c r="GC152" s="48"/>
      <c r="GI152" s="48"/>
      <c r="GJ152" s="48"/>
      <c r="HB152" s="48"/>
      <c r="HC152" s="48"/>
      <c r="HI152" s="48"/>
      <c r="HJ152" s="48"/>
      <c r="IB152" s="48"/>
      <c r="IC152" s="48"/>
      <c r="II152" s="48"/>
      <c r="IJ152" s="48"/>
    </row>
    <row r="153" spans="1:247" s="44" customFormat="1" ht="15">
      <c r="A153" s="57"/>
      <c r="B153" s="58">
        <f t="shared" si="14"/>
        <v>0</v>
      </c>
      <c r="C153" s="50">
        <f t="shared" si="14"/>
        <v>0</v>
      </c>
      <c r="D153" s="50">
        <f t="shared" si="14"/>
        <v>0</v>
      </c>
      <c r="E153" s="50">
        <f t="shared" si="14"/>
        <v>0</v>
      </c>
      <c r="F153" s="50">
        <f t="shared" si="14"/>
        <v>0</v>
      </c>
      <c r="G153" s="50">
        <f t="shared" si="14"/>
        <v>0</v>
      </c>
      <c r="H153" s="50">
        <f t="shared" si="14"/>
        <v>0</v>
      </c>
      <c r="I153" s="50">
        <f t="shared" si="14"/>
        <v>0</v>
      </c>
      <c r="J153" s="50">
        <f t="shared" si="14"/>
        <v>0</v>
      </c>
      <c r="K153" s="50">
        <f t="shared" si="14"/>
        <v>0</v>
      </c>
      <c r="L153" s="50">
        <f t="shared" si="14"/>
        <v>0</v>
      </c>
      <c r="M153" s="50">
        <f t="shared" si="14"/>
        <v>0</v>
      </c>
      <c r="Q153" s="58"/>
      <c r="S153" s="57"/>
      <c r="T153" s="58">
        <f t="shared" si="15"/>
        <v>0</v>
      </c>
      <c r="U153" s="50">
        <f t="shared" si="15"/>
        <v>0</v>
      </c>
      <c r="V153" s="50">
        <f t="shared" si="15"/>
        <v>0</v>
      </c>
      <c r="W153" s="50">
        <f t="shared" si="15"/>
        <v>0</v>
      </c>
      <c r="X153" s="50">
        <f t="shared" si="15"/>
        <v>0</v>
      </c>
      <c r="Y153" s="50">
        <f t="shared" si="15"/>
        <v>0</v>
      </c>
      <c r="Z153" s="50">
        <f t="shared" si="15"/>
        <v>0</v>
      </c>
      <c r="AA153" s="50">
        <f t="shared" si="15"/>
        <v>0</v>
      </c>
      <c r="AB153" s="50">
        <f t="shared" si="15"/>
        <v>0</v>
      </c>
      <c r="AC153" s="50">
        <f t="shared" si="15"/>
        <v>0</v>
      </c>
      <c r="AD153" s="50">
        <f t="shared" si="15"/>
        <v>0</v>
      </c>
      <c r="AE153" s="50">
        <f t="shared" si="15"/>
        <v>0</v>
      </c>
      <c r="AG153" s="47"/>
      <c r="AM153" s="48"/>
      <c r="BM153" s="48"/>
      <c r="CM153" s="48"/>
      <c r="DM153" s="48"/>
      <c r="EM153" s="48"/>
      <c r="FM153" s="48"/>
      <c r="GM153" s="48"/>
      <c r="HM153" s="48"/>
      <c r="IM153" s="48"/>
    </row>
    <row r="154" spans="1:244" s="44" customFormat="1" ht="15">
      <c r="A154" s="57"/>
      <c r="B154" s="58">
        <f t="shared" si="14"/>
        <v>0</v>
      </c>
      <c r="C154" s="50">
        <f t="shared" si="14"/>
        <v>0</v>
      </c>
      <c r="D154" s="50">
        <f t="shared" si="14"/>
        <v>0</v>
      </c>
      <c r="E154" s="50">
        <f t="shared" si="14"/>
        <v>0</v>
      </c>
      <c r="F154" s="50">
        <f t="shared" si="14"/>
        <v>0</v>
      </c>
      <c r="G154" s="50">
        <f t="shared" si="14"/>
        <v>0</v>
      </c>
      <c r="H154" s="50">
        <f t="shared" si="14"/>
        <v>0</v>
      </c>
      <c r="I154" s="50">
        <f t="shared" si="14"/>
        <v>0</v>
      </c>
      <c r="J154" s="50">
        <f t="shared" si="14"/>
        <v>0</v>
      </c>
      <c r="K154" s="50">
        <f t="shared" si="14"/>
        <v>0</v>
      </c>
      <c r="L154" s="50">
        <f t="shared" si="14"/>
        <v>0</v>
      </c>
      <c r="M154" s="50">
        <f t="shared" si="14"/>
        <v>0</v>
      </c>
      <c r="Q154" s="58"/>
      <c r="S154" s="57"/>
      <c r="T154" s="58">
        <f t="shared" si="15"/>
        <v>0</v>
      </c>
      <c r="U154" s="50">
        <f t="shared" si="15"/>
        <v>0</v>
      </c>
      <c r="V154" s="50">
        <f t="shared" si="15"/>
        <v>0</v>
      </c>
      <c r="W154" s="50">
        <f t="shared" si="15"/>
        <v>0</v>
      </c>
      <c r="X154" s="50">
        <f t="shared" si="15"/>
        <v>0</v>
      </c>
      <c r="Y154" s="50">
        <f t="shared" si="15"/>
        <v>0</v>
      </c>
      <c r="Z154" s="50">
        <f t="shared" si="15"/>
        <v>0</v>
      </c>
      <c r="AA154" s="50">
        <f t="shared" si="15"/>
        <v>0</v>
      </c>
      <c r="AB154" s="50">
        <f t="shared" si="15"/>
        <v>0</v>
      </c>
      <c r="AC154" s="50">
        <f t="shared" si="15"/>
        <v>0</v>
      </c>
      <c r="AD154" s="50">
        <f t="shared" si="15"/>
        <v>0</v>
      </c>
      <c r="AE154" s="50">
        <f t="shared" si="15"/>
        <v>0</v>
      </c>
      <c r="AG154" s="47"/>
      <c r="AJ154" s="48"/>
      <c r="BC154" s="48"/>
      <c r="BJ154" s="48"/>
      <c r="CC154" s="48"/>
      <c r="CJ154" s="48"/>
      <c r="DC154" s="48"/>
      <c r="DJ154" s="48"/>
      <c r="EC154" s="48"/>
      <c r="EJ154" s="48"/>
      <c r="FC154" s="48"/>
      <c r="FJ154" s="48"/>
      <c r="GC154" s="48"/>
      <c r="GJ154" s="48"/>
      <c r="HC154" s="48"/>
      <c r="HJ154" s="48"/>
      <c r="IC154" s="48"/>
      <c r="IJ154" s="48"/>
    </row>
    <row r="155" spans="1:33" s="44" customFormat="1" ht="15">
      <c r="A155" s="57"/>
      <c r="B155" s="58">
        <f t="shared" si="14"/>
        <v>0</v>
      </c>
      <c r="C155" s="50">
        <f t="shared" si="14"/>
        <v>0</v>
      </c>
      <c r="D155" s="50">
        <f t="shared" si="14"/>
        <v>0</v>
      </c>
      <c r="E155" s="50">
        <f t="shared" si="14"/>
        <v>0</v>
      </c>
      <c r="F155" s="50">
        <f t="shared" si="14"/>
        <v>0</v>
      </c>
      <c r="G155" s="50">
        <f t="shared" si="14"/>
        <v>0</v>
      </c>
      <c r="H155" s="50">
        <f t="shared" si="14"/>
        <v>0</v>
      </c>
      <c r="I155" s="50">
        <f t="shared" si="14"/>
        <v>0</v>
      </c>
      <c r="J155" s="50">
        <f t="shared" si="14"/>
        <v>0</v>
      </c>
      <c r="K155" s="50">
        <f t="shared" si="14"/>
        <v>0</v>
      </c>
      <c r="L155" s="50">
        <f t="shared" si="14"/>
        <v>0</v>
      </c>
      <c r="M155" s="50">
        <f t="shared" si="14"/>
        <v>0</v>
      </c>
      <c r="Q155" s="58"/>
      <c r="S155" s="57"/>
      <c r="T155" s="58">
        <f t="shared" si="15"/>
        <v>0</v>
      </c>
      <c r="U155" s="50">
        <f t="shared" si="15"/>
        <v>0</v>
      </c>
      <c r="V155" s="50">
        <f t="shared" si="15"/>
        <v>0</v>
      </c>
      <c r="W155" s="50">
        <f t="shared" si="15"/>
        <v>0</v>
      </c>
      <c r="X155" s="50">
        <f t="shared" si="15"/>
        <v>0</v>
      </c>
      <c r="Y155" s="50">
        <f t="shared" si="15"/>
        <v>0</v>
      </c>
      <c r="Z155" s="50">
        <f t="shared" si="15"/>
        <v>0</v>
      </c>
      <c r="AA155" s="50">
        <f t="shared" si="15"/>
        <v>0</v>
      </c>
      <c r="AB155" s="50">
        <f t="shared" si="15"/>
        <v>0</v>
      </c>
      <c r="AC155" s="50">
        <f t="shared" si="15"/>
        <v>0</v>
      </c>
      <c r="AD155" s="50">
        <f t="shared" si="15"/>
        <v>0</v>
      </c>
      <c r="AE155" s="50">
        <f t="shared" si="15"/>
        <v>0</v>
      </c>
      <c r="AG155" s="47"/>
    </row>
    <row r="156" spans="1:33" s="44" customFormat="1" ht="15">
      <c r="A156" s="57"/>
      <c r="B156" s="58">
        <f t="shared" si="14"/>
        <v>0</v>
      </c>
      <c r="C156" s="50">
        <f t="shared" si="14"/>
        <v>0</v>
      </c>
      <c r="D156" s="50">
        <f t="shared" si="14"/>
        <v>0</v>
      </c>
      <c r="E156" s="50">
        <f t="shared" si="14"/>
        <v>0</v>
      </c>
      <c r="F156" s="50">
        <f t="shared" si="14"/>
        <v>0</v>
      </c>
      <c r="G156" s="50">
        <f t="shared" si="14"/>
        <v>0</v>
      </c>
      <c r="H156" s="50">
        <f t="shared" si="14"/>
        <v>0</v>
      </c>
      <c r="I156" s="50">
        <f t="shared" si="14"/>
        <v>0</v>
      </c>
      <c r="J156" s="50">
        <f t="shared" si="14"/>
        <v>0</v>
      </c>
      <c r="K156" s="50">
        <f t="shared" si="14"/>
        <v>0</v>
      </c>
      <c r="L156" s="50">
        <f t="shared" si="14"/>
        <v>0</v>
      </c>
      <c r="M156" s="50">
        <f t="shared" si="14"/>
        <v>0</v>
      </c>
      <c r="Q156" s="58"/>
      <c r="S156" s="57"/>
      <c r="T156" s="58">
        <f t="shared" si="15"/>
        <v>0</v>
      </c>
      <c r="U156" s="50">
        <f t="shared" si="15"/>
        <v>0</v>
      </c>
      <c r="V156" s="50">
        <f t="shared" si="15"/>
        <v>0</v>
      </c>
      <c r="W156" s="50">
        <f t="shared" si="15"/>
        <v>0</v>
      </c>
      <c r="X156" s="50">
        <f t="shared" si="15"/>
        <v>0</v>
      </c>
      <c r="Y156" s="50">
        <f t="shared" si="15"/>
        <v>0</v>
      </c>
      <c r="Z156" s="50">
        <f t="shared" si="15"/>
        <v>0</v>
      </c>
      <c r="AA156" s="50">
        <f t="shared" si="15"/>
        <v>0</v>
      </c>
      <c r="AB156" s="50">
        <f t="shared" si="15"/>
        <v>0</v>
      </c>
      <c r="AC156" s="50">
        <f t="shared" si="15"/>
        <v>0</v>
      </c>
      <c r="AD156" s="50">
        <f t="shared" si="15"/>
        <v>0</v>
      </c>
      <c r="AE156" s="50">
        <f t="shared" si="15"/>
        <v>0</v>
      </c>
      <c r="AG156" s="47"/>
    </row>
    <row r="157" spans="1:33" s="44" customFormat="1" ht="15">
      <c r="A157" s="57"/>
      <c r="B157" s="58">
        <f t="shared" si="14"/>
        <v>0</v>
      </c>
      <c r="C157" s="50">
        <f t="shared" si="14"/>
        <v>0</v>
      </c>
      <c r="D157" s="50">
        <f t="shared" si="14"/>
        <v>0</v>
      </c>
      <c r="E157" s="50">
        <f t="shared" si="14"/>
        <v>0</v>
      </c>
      <c r="F157" s="50">
        <f t="shared" si="14"/>
        <v>0</v>
      </c>
      <c r="G157" s="50">
        <f t="shared" si="14"/>
        <v>0</v>
      </c>
      <c r="H157" s="50">
        <f t="shared" si="14"/>
        <v>0</v>
      </c>
      <c r="I157" s="50">
        <f t="shared" si="14"/>
        <v>0</v>
      </c>
      <c r="J157" s="50">
        <f t="shared" si="14"/>
        <v>0</v>
      </c>
      <c r="K157" s="50">
        <f t="shared" si="14"/>
        <v>0</v>
      </c>
      <c r="L157" s="50">
        <f t="shared" si="14"/>
        <v>0</v>
      </c>
      <c r="M157" s="50">
        <f t="shared" si="14"/>
        <v>0</v>
      </c>
      <c r="Q157" s="58"/>
      <c r="S157" s="57"/>
      <c r="T157" s="58">
        <f t="shared" si="15"/>
        <v>0</v>
      </c>
      <c r="U157" s="50">
        <f t="shared" si="15"/>
        <v>0</v>
      </c>
      <c r="V157" s="50">
        <f t="shared" si="15"/>
        <v>0</v>
      </c>
      <c r="W157" s="50">
        <f t="shared" si="15"/>
        <v>0</v>
      </c>
      <c r="X157" s="50">
        <f t="shared" si="15"/>
        <v>0</v>
      </c>
      <c r="Y157" s="50">
        <f t="shared" si="15"/>
        <v>0</v>
      </c>
      <c r="Z157" s="50">
        <f t="shared" si="15"/>
        <v>0</v>
      </c>
      <c r="AA157" s="50">
        <f t="shared" si="15"/>
        <v>0</v>
      </c>
      <c r="AB157" s="50">
        <f t="shared" si="15"/>
        <v>0</v>
      </c>
      <c r="AC157" s="50">
        <f t="shared" si="15"/>
        <v>0</v>
      </c>
      <c r="AD157" s="50">
        <f t="shared" si="15"/>
        <v>0</v>
      </c>
      <c r="AE157" s="50">
        <f t="shared" si="15"/>
        <v>0</v>
      </c>
      <c r="AG157" s="47"/>
    </row>
    <row r="158" spans="1:235" s="44" customFormat="1" ht="15">
      <c r="A158" s="57"/>
      <c r="B158" s="58">
        <f t="shared" si="14"/>
        <v>0</v>
      </c>
      <c r="C158" s="50">
        <f t="shared" si="14"/>
        <v>0</v>
      </c>
      <c r="D158" s="50">
        <f t="shared" si="14"/>
        <v>0</v>
      </c>
      <c r="E158" s="50">
        <f t="shared" si="14"/>
        <v>0</v>
      </c>
      <c r="F158" s="50">
        <f t="shared" si="14"/>
        <v>0</v>
      </c>
      <c r="G158" s="50">
        <f t="shared" si="14"/>
        <v>0</v>
      </c>
      <c r="H158" s="50">
        <f t="shared" si="14"/>
        <v>0</v>
      </c>
      <c r="I158" s="50">
        <f t="shared" si="14"/>
        <v>0</v>
      </c>
      <c r="J158" s="50">
        <f t="shared" si="14"/>
        <v>0</v>
      </c>
      <c r="K158" s="50">
        <f t="shared" si="14"/>
        <v>0</v>
      </c>
      <c r="L158" s="50">
        <f t="shared" si="14"/>
        <v>0</v>
      </c>
      <c r="M158" s="50">
        <f t="shared" si="14"/>
        <v>0</v>
      </c>
      <c r="Q158" s="58"/>
      <c r="S158" s="57"/>
      <c r="T158" s="58">
        <f t="shared" si="15"/>
        <v>0</v>
      </c>
      <c r="U158" s="50">
        <f t="shared" si="15"/>
        <v>0</v>
      </c>
      <c r="V158" s="50">
        <f t="shared" si="15"/>
        <v>0</v>
      </c>
      <c r="W158" s="50">
        <f t="shared" si="15"/>
        <v>0</v>
      </c>
      <c r="X158" s="50">
        <f t="shared" si="15"/>
        <v>0</v>
      </c>
      <c r="Y158" s="50">
        <f t="shared" si="15"/>
        <v>0</v>
      </c>
      <c r="Z158" s="50">
        <f t="shared" si="15"/>
        <v>0</v>
      </c>
      <c r="AA158" s="50">
        <f t="shared" si="15"/>
        <v>0</v>
      </c>
      <c r="AB158" s="50">
        <f t="shared" si="15"/>
        <v>0</v>
      </c>
      <c r="AC158" s="50">
        <f t="shared" si="15"/>
        <v>0</v>
      </c>
      <c r="AD158" s="50">
        <f t="shared" si="15"/>
        <v>0</v>
      </c>
      <c r="AE158" s="50">
        <f t="shared" si="15"/>
        <v>0</v>
      </c>
      <c r="AG158" s="47"/>
      <c r="BA158" s="54"/>
      <c r="CA158" s="54"/>
      <c r="DA158" s="54"/>
      <c r="EA158" s="54"/>
      <c r="FA158" s="54"/>
      <c r="GA158" s="54"/>
      <c r="HA158" s="54"/>
      <c r="IA158" s="54"/>
    </row>
    <row r="159" spans="1:33" s="44" customFormat="1" ht="15">
      <c r="A159" s="57"/>
      <c r="B159" s="58">
        <f t="shared" si="14"/>
        <v>0</v>
      </c>
      <c r="C159" s="50">
        <f t="shared" si="14"/>
        <v>0</v>
      </c>
      <c r="D159" s="50">
        <f t="shared" si="14"/>
        <v>0</v>
      </c>
      <c r="E159" s="50">
        <f t="shared" si="14"/>
        <v>0</v>
      </c>
      <c r="F159" s="50">
        <f t="shared" si="14"/>
        <v>0</v>
      </c>
      <c r="G159" s="50">
        <f t="shared" si="14"/>
        <v>0</v>
      </c>
      <c r="H159" s="50">
        <f t="shared" si="14"/>
        <v>0</v>
      </c>
      <c r="I159" s="50">
        <f t="shared" si="14"/>
        <v>0</v>
      </c>
      <c r="J159" s="50">
        <f t="shared" si="14"/>
        <v>0</v>
      </c>
      <c r="K159" s="50">
        <f t="shared" si="14"/>
        <v>0</v>
      </c>
      <c r="L159" s="50">
        <f t="shared" si="14"/>
        <v>0</v>
      </c>
      <c r="M159" s="50">
        <f t="shared" si="14"/>
        <v>0</v>
      </c>
      <c r="Q159" s="58"/>
      <c r="S159" s="57"/>
      <c r="T159" s="58">
        <f t="shared" si="15"/>
        <v>0</v>
      </c>
      <c r="U159" s="50">
        <f t="shared" si="15"/>
        <v>0</v>
      </c>
      <c r="V159" s="50">
        <f t="shared" si="15"/>
        <v>0</v>
      </c>
      <c r="W159" s="50">
        <f t="shared" si="15"/>
        <v>0</v>
      </c>
      <c r="X159" s="50">
        <f t="shared" si="15"/>
        <v>0</v>
      </c>
      <c r="Y159" s="50">
        <f t="shared" si="15"/>
        <v>0</v>
      </c>
      <c r="Z159" s="50">
        <f t="shared" si="15"/>
        <v>0</v>
      </c>
      <c r="AA159" s="50">
        <f t="shared" si="15"/>
        <v>0</v>
      </c>
      <c r="AB159" s="50">
        <f t="shared" si="15"/>
        <v>0</v>
      </c>
      <c r="AC159" s="50">
        <f t="shared" si="15"/>
        <v>0</v>
      </c>
      <c r="AD159" s="50">
        <f t="shared" si="15"/>
        <v>0</v>
      </c>
      <c r="AE159" s="50">
        <f t="shared" si="15"/>
        <v>0</v>
      </c>
      <c r="AG159" s="47"/>
    </row>
    <row r="160" spans="1:243" s="44" customFormat="1" ht="15">
      <c r="A160" s="57" t="s">
        <v>9</v>
      </c>
      <c r="B160" s="58">
        <f>(B89)</f>
        <v>42123.01092732539</v>
      </c>
      <c r="C160" s="58">
        <v>29223.884853101288</v>
      </c>
      <c r="D160" s="58">
        <v>35944.08810908562</v>
      </c>
      <c r="E160" s="58">
        <v>39397.721459085624</v>
      </c>
      <c r="F160" s="58">
        <v>40817.14668408564</v>
      </c>
      <c r="G160" s="58">
        <v>41947.820026737376</v>
      </c>
      <c r="H160" s="58">
        <v>42946.26372745812</v>
      </c>
      <c r="I160" s="58">
        <v>43882.02025908563</v>
      </c>
      <c r="J160" s="58">
        <v>44831.317384085625</v>
      </c>
      <c r="K160" s="58">
        <v>45709.64324783563</v>
      </c>
      <c r="L160" s="58">
        <v>47086.82927123563</v>
      </c>
      <c r="M160" s="58">
        <v>53723.64622772032</v>
      </c>
      <c r="Q160" s="58"/>
      <c r="S160" s="57" t="s">
        <v>9</v>
      </c>
      <c r="T160" s="58">
        <f>T89</f>
        <v>38871.20177662412</v>
      </c>
      <c r="U160" s="58">
        <f aca="true" t="shared" si="16" ref="U160:AE160">U89</f>
        <v>29223.884853101288</v>
      </c>
      <c r="V160" s="58">
        <f t="shared" si="16"/>
        <v>34142.416108791665</v>
      </c>
      <c r="W160" s="58">
        <f t="shared" si="16"/>
        <v>36149.72194536229</v>
      </c>
      <c r="X160" s="58">
        <f t="shared" si="16"/>
        <v>37978.296234085625</v>
      </c>
      <c r="Y160" s="58">
        <f t="shared" si="16"/>
        <v>38766.664894085625</v>
      </c>
      <c r="Z160" s="58">
        <f t="shared" si="16"/>
        <v>39366.30424471063</v>
      </c>
      <c r="AA160" s="58">
        <f t="shared" si="16"/>
        <v>40232.433900635624</v>
      </c>
      <c r="AB160" s="58">
        <f t="shared" si="16"/>
        <v>41044.68868448563</v>
      </c>
      <c r="AC160" s="58">
        <f t="shared" si="16"/>
        <v>41795.437654990965</v>
      </c>
      <c r="AD160" s="58">
        <f t="shared" si="16"/>
        <v>42947.491284788295</v>
      </c>
      <c r="AE160" s="58">
        <f t="shared" si="16"/>
        <v>46982.85863373562</v>
      </c>
      <c r="AG160" s="65"/>
      <c r="AI160" s="49"/>
      <c r="BG160" s="49"/>
      <c r="BI160" s="49"/>
      <c r="CG160" s="49"/>
      <c r="CI160" s="49"/>
      <c r="DG160" s="49"/>
      <c r="DI160" s="49"/>
      <c r="EG160" s="49"/>
      <c r="EI160" s="49"/>
      <c r="FG160" s="49"/>
      <c r="FI160" s="49"/>
      <c r="GG160" s="49"/>
      <c r="GI160" s="49"/>
      <c r="HG160" s="49"/>
      <c r="HI160" s="49"/>
      <c r="IG160" s="49"/>
      <c r="II160" s="49"/>
    </row>
    <row r="161" s="44" customFormat="1" ht="15">
      <c r="AG161" s="47"/>
    </row>
    <row r="162" s="44" customFormat="1" ht="15">
      <c r="AG162" s="47"/>
    </row>
    <row r="163" s="44" customFormat="1" ht="15">
      <c r="AG163" s="47"/>
    </row>
    <row r="164" s="44" customFormat="1" ht="15">
      <c r="AG164" s="47"/>
    </row>
    <row r="165" s="44" customFormat="1" ht="15">
      <c r="AG165" s="47"/>
    </row>
    <row r="166" s="44" customFormat="1" ht="15">
      <c r="AG166" s="47"/>
    </row>
    <row r="167" s="44" customFormat="1" ht="15">
      <c r="AG167" s="47"/>
    </row>
    <row r="168" s="44" customFormat="1" ht="15">
      <c r="AG168" s="47"/>
    </row>
    <row r="169" spans="3:33" s="44" customFormat="1" ht="15">
      <c r="C169" s="44">
        <v>0</v>
      </c>
      <c r="D169" s="44">
        <v>1</v>
      </c>
      <c r="E169" s="44">
        <v>2</v>
      </c>
      <c r="F169" s="44">
        <v>3</v>
      </c>
      <c r="G169" s="44">
        <v>4</v>
      </c>
      <c r="H169" s="44">
        <v>5</v>
      </c>
      <c r="I169" s="44">
        <v>6</v>
      </c>
      <c r="J169" s="44">
        <v>7</v>
      </c>
      <c r="K169" s="44">
        <v>8</v>
      </c>
      <c r="L169" s="44">
        <v>9</v>
      </c>
      <c r="M169" s="44">
        <v>10</v>
      </c>
      <c r="U169" s="44">
        <v>0</v>
      </c>
      <c r="V169" s="44">
        <v>1</v>
      </c>
      <c r="W169" s="44">
        <v>2</v>
      </c>
      <c r="X169" s="44">
        <v>3</v>
      </c>
      <c r="Y169" s="44">
        <v>4</v>
      </c>
      <c r="Z169" s="44">
        <v>5</v>
      </c>
      <c r="AA169" s="44">
        <v>6</v>
      </c>
      <c r="AB169" s="44">
        <v>7</v>
      </c>
      <c r="AC169" s="44">
        <v>8</v>
      </c>
      <c r="AD169" s="44">
        <v>9</v>
      </c>
      <c r="AE169" s="44">
        <v>10</v>
      </c>
      <c r="AG169" s="47"/>
    </row>
    <row r="170" s="44" customFormat="1" ht="15">
      <c r="AG170" s="47"/>
    </row>
    <row r="171" s="44" customFormat="1" ht="15">
      <c r="AG171" s="47"/>
    </row>
    <row r="172" spans="8:33" s="44" customFormat="1" ht="15">
      <c r="H172" s="44" t="s">
        <v>10</v>
      </c>
      <c r="Z172" s="44" t="s">
        <v>10</v>
      </c>
      <c r="AG172" s="47"/>
    </row>
    <row r="173" spans="3:33" s="44" customFormat="1" ht="15">
      <c r="C173" s="44" t="e">
        <f>VLOOKUP('Tjek din løn'!M49,'Tjek din løn'!$A119:$L159,'Tjek din løn'!C169+3)</f>
        <v>#N/A</v>
      </c>
      <c r="D173" s="50" t="e">
        <f>VLOOKUP('Tjek din løn'!$M49,'Tjek din løn'!$A119:$L159,'Tjek din løn'!D169+3)</f>
        <v>#N/A</v>
      </c>
      <c r="E173" s="50" t="e">
        <f>VLOOKUP('Tjek din løn'!$M49,'Tjek din løn'!$A119:$L159,'Tjek din løn'!E169+3)</f>
        <v>#N/A</v>
      </c>
      <c r="F173" s="50" t="e">
        <f>VLOOKUP('Tjek din løn'!$M49,'Tjek din løn'!$A119:$L159,'Tjek din løn'!F169+3)</f>
        <v>#N/A</v>
      </c>
      <c r="G173" s="50" t="e">
        <f>VLOOKUP('Tjek din løn'!$M49,'Tjek din løn'!$A119:$L159,'Tjek din løn'!G169+3)</f>
        <v>#N/A</v>
      </c>
      <c r="H173" s="50" t="e">
        <f>VLOOKUP('Tjek din løn'!$M49,'Tjek din løn'!$A119:$L159,'Tjek din løn'!H169+3)</f>
        <v>#N/A</v>
      </c>
      <c r="I173" s="50" t="e">
        <f>VLOOKUP('Tjek din løn'!$M49,'Tjek din løn'!$A119:$L159,'Tjek din løn'!I169+3)</f>
        <v>#N/A</v>
      </c>
      <c r="J173" s="50" t="e">
        <f>VLOOKUP('Tjek din løn'!$M49,'Tjek din løn'!$A119:$L159,'Tjek din løn'!J169+3)</f>
        <v>#N/A</v>
      </c>
      <c r="K173" s="50" t="e">
        <f>VLOOKUP('Tjek din løn'!$M49,'Tjek din løn'!$A119:$L159,'Tjek din løn'!K169+3)</f>
        <v>#N/A</v>
      </c>
      <c r="L173" s="50" t="e">
        <f>VLOOKUP('Tjek din løn'!$M49,'Tjek din løn'!$A119:$L159,'Tjek din løn'!L169+3)</f>
        <v>#N/A</v>
      </c>
      <c r="M173" s="50" t="e">
        <f>VLOOKUP('Tjek din løn'!$M49,'Tjek din løn'!$A119:$M159,'Tjek din løn'!M169+3)</f>
        <v>#N/A</v>
      </c>
      <c r="U173" s="50" t="e">
        <f>VLOOKUP('Tjek din løn'!$M49,'Tjek din løn'!$S119:$AD159,'Tjek din løn'!U169+3)</f>
        <v>#N/A</v>
      </c>
      <c r="V173" s="50" t="e">
        <f>VLOOKUP('Tjek din løn'!$M49,'Tjek din løn'!$S119:$AD159,'Tjek din løn'!V169+3)</f>
        <v>#N/A</v>
      </c>
      <c r="W173" s="50" t="e">
        <f>VLOOKUP('Tjek din løn'!$M49,'Tjek din løn'!$S119:$AD159,'Tjek din løn'!W169+3)</f>
        <v>#N/A</v>
      </c>
      <c r="X173" s="50" t="e">
        <f>VLOOKUP('Tjek din løn'!$M49,'Tjek din løn'!$S119:$AD159,'Tjek din løn'!X169+3)</f>
        <v>#N/A</v>
      </c>
      <c r="Y173" s="50" t="e">
        <f>VLOOKUP('Tjek din løn'!$M49,'Tjek din løn'!$S119:$AD159,'Tjek din løn'!Y169+3)</f>
        <v>#N/A</v>
      </c>
      <c r="Z173" s="50" t="e">
        <f>VLOOKUP('Tjek din løn'!$M49,'Tjek din løn'!$S119:$AD159,'Tjek din løn'!Z169+3)</f>
        <v>#N/A</v>
      </c>
      <c r="AA173" s="50" t="e">
        <f>VLOOKUP('Tjek din løn'!$M49,'Tjek din løn'!$S119:$AD159,'Tjek din løn'!AA169+3)</f>
        <v>#N/A</v>
      </c>
      <c r="AB173" s="50" t="e">
        <f>VLOOKUP('Tjek din løn'!$M49,'Tjek din løn'!$S119:$AD159,'Tjek din løn'!AB169+3)</f>
        <v>#N/A</v>
      </c>
      <c r="AC173" s="50" t="e">
        <f>VLOOKUP('Tjek din løn'!$M49,'Tjek din løn'!$S119:$AD159,'Tjek din løn'!AC169+3)</f>
        <v>#N/A</v>
      </c>
      <c r="AD173" s="50" t="e">
        <f>VLOOKUP('Tjek din løn'!$M49,'Tjek din løn'!$S119:$AD159,'Tjek din løn'!AD169+3)</f>
        <v>#N/A</v>
      </c>
      <c r="AE173" s="50" t="e">
        <f>VLOOKUP('Tjek din løn'!$M49,'Tjek din løn'!$S119:$AE159,'Tjek din løn'!AE169+3)</f>
        <v>#N/A</v>
      </c>
      <c r="AG173" s="47"/>
    </row>
    <row r="174" spans="4:33" s="44" customFormat="1" ht="15">
      <c r="D174" s="50" t="e">
        <f aca="true" t="shared" si="17" ref="D174:K174">E173</f>
        <v>#N/A</v>
      </c>
      <c r="E174" s="50" t="e">
        <f t="shared" si="17"/>
        <v>#N/A</v>
      </c>
      <c r="F174" s="50" t="e">
        <f t="shared" si="17"/>
        <v>#N/A</v>
      </c>
      <c r="G174" s="50" t="e">
        <f t="shared" si="17"/>
        <v>#N/A</v>
      </c>
      <c r="H174" s="50" t="e">
        <f t="shared" si="17"/>
        <v>#N/A</v>
      </c>
      <c r="I174" s="50" t="e">
        <f t="shared" si="17"/>
        <v>#N/A</v>
      </c>
      <c r="J174" s="50" t="e">
        <f t="shared" si="17"/>
        <v>#N/A</v>
      </c>
      <c r="K174" s="50" t="e">
        <f t="shared" si="17"/>
        <v>#N/A</v>
      </c>
      <c r="L174" s="50"/>
      <c r="M174" s="50"/>
      <c r="V174" s="50" t="e">
        <f aca="true" t="shared" si="18" ref="V174:AC174">W173</f>
        <v>#N/A</v>
      </c>
      <c r="W174" s="50" t="e">
        <f t="shared" si="18"/>
        <v>#N/A</v>
      </c>
      <c r="X174" s="50" t="e">
        <f t="shared" si="18"/>
        <v>#N/A</v>
      </c>
      <c r="Y174" s="50" t="e">
        <f t="shared" si="18"/>
        <v>#N/A</v>
      </c>
      <c r="Z174" s="50" t="e">
        <f t="shared" si="18"/>
        <v>#N/A</v>
      </c>
      <c r="AA174" s="50" t="e">
        <f t="shared" si="18"/>
        <v>#N/A</v>
      </c>
      <c r="AB174" s="50" t="e">
        <f t="shared" si="18"/>
        <v>#N/A</v>
      </c>
      <c r="AC174" s="50" t="e">
        <f t="shared" si="18"/>
        <v>#N/A</v>
      </c>
      <c r="AD174" s="50"/>
      <c r="AE174" s="50"/>
      <c r="AG174" s="47"/>
    </row>
    <row r="175" spans="4:33" s="44" customFormat="1" ht="15">
      <c r="D175" s="44">
        <f aca="true" t="shared" si="19" ref="D175:K175">10*D169</f>
        <v>10</v>
      </c>
      <c r="E175" s="44">
        <f t="shared" si="19"/>
        <v>20</v>
      </c>
      <c r="F175" s="44">
        <f t="shared" si="19"/>
        <v>30</v>
      </c>
      <c r="G175" s="44">
        <f t="shared" si="19"/>
        <v>40</v>
      </c>
      <c r="H175" s="44">
        <f t="shared" si="19"/>
        <v>50</v>
      </c>
      <c r="I175" s="44">
        <f t="shared" si="19"/>
        <v>60</v>
      </c>
      <c r="J175" s="44">
        <f t="shared" si="19"/>
        <v>70</v>
      </c>
      <c r="K175" s="44">
        <f t="shared" si="19"/>
        <v>80</v>
      </c>
      <c r="V175" s="44">
        <f aca="true" t="shared" si="20" ref="V175:AC175">10*V169</f>
        <v>10</v>
      </c>
      <c r="W175" s="44">
        <f t="shared" si="20"/>
        <v>20</v>
      </c>
      <c r="X175" s="44">
        <f t="shared" si="20"/>
        <v>30</v>
      </c>
      <c r="Y175" s="44">
        <f t="shared" si="20"/>
        <v>40</v>
      </c>
      <c r="Z175" s="44">
        <f t="shared" si="20"/>
        <v>50</v>
      </c>
      <c r="AA175" s="44">
        <f t="shared" si="20"/>
        <v>60</v>
      </c>
      <c r="AB175" s="44">
        <f t="shared" si="20"/>
        <v>70</v>
      </c>
      <c r="AC175" s="44">
        <f t="shared" si="20"/>
        <v>80</v>
      </c>
      <c r="AG175" s="47"/>
    </row>
    <row r="176" spans="4:33" s="44" customFormat="1" ht="15">
      <c r="D176" s="44" t="e">
        <f>(D175+('Tjek din løn'!$M$50-'Tjek din løn'!D173)*10/('Tjek din løn'!D174-'Tjek din løn'!D173))/100</f>
        <v>#N/A</v>
      </c>
      <c r="E176" s="44" t="e">
        <f>(E175+('Tjek din løn'!$M50-'Tjek din løn'!E173)*10/('Tjek din løn'!E174-'Tjek din løn'!E173))/100</f>
        <v>#N/A</v>
      </c>
      <c r="F176" s="44" t="e">
        <f>(F175+('Tjek din løn'!$M50-'Tjek din løn'!F173)*10/('Tjek din løn'!F174-'Tjek din løn'!F173))/100</f>
        <v>#N/A</v>
      </c>
      <c r="G176" s="44" t="e">
        <f>(G175+('Tjek din løn'!$M50-'Tjek din løn'!G173)*10/('Tjek din løn'!G174-'Tjek din løn'!G173))/100</f>
        <v>#N/A</v>
      </c>
      <c r="H176" s="44" t="e">
        <f>(H175+('Tjek din løn'!$M50-'Tjek din løn'!H173)*10/('Tjek din løn'!H174-'Tjek din løn'!H173))/100</f>
        <v>#N/A</v>
      </c>
      <c r="I176" s="44" t="e">
        <f>(I175+('Tjek din løn'!$M50-'Tjek din løn'!I173)*10/('Tjek din løn'!I174-'Tjek din løn'!I173))/100</f>
        <v>#N/A</v>
      </c>
      <c r="J176" s="44" t="e">
        <f>(J175+('Tjek din løn'!$M50-'Tjek din løn'!J173)*10/('Tjek din løn'!J174-'Tjek din løn'!J173))/100</f>
        <v>#N/A</v>
      </c>
      <c r="K176" s="44" t="e">
        <f>(K175+('Tjek din løn'!$M50-'Tjek din løn'!K173)*10/('Tjek din løn'!K174-'Tjek din løn'!K173))/100</f>
        <v>#N/A</v>
      </c>
      <c r="V176" s="44" t="e">
        <f>(V175+('Tjek din løn'!$M$50-'Tjek din løn'!V173)*10/('Tjek din løn'!V174-'Tjek din løn'!V173))/100</f>
        <v>#N/A</v>
      </c>
      <c r="W176" s="44" t="e">
        <f>(W175+('Tjek din løn'!$M50-'Tjek din løn'!W173)*10/('Tjek din løn'!W174-'Tjek din løn'!W173))/100</f>
        <v>#N/A</v>
      </c>
      <c r="X176" s="44" t="e">
        <f>(X175+('Tjek din løn'!$M50-'Tjek din løn'!X173)*10/('Tjek din løn'!X174-'Tjek din løn'!X173))/100</f>
        <v>#N/A</v>
      </c>
      <c r="Y176" s="44" t="e">
        <f>(Y175+('Tjek din løn'!$M50-'Tjek din løn'!Y173)*10/('Tjek din løn'!Y174-'Tjek din løn'!Y173))/100</f>
        <v>#N/A</v>
      </c>
      <c r="Z176" s="44" t="e">
        <f>(Z175+('Tjek din løn'!$M50-'Tjek din løn'!Z173)*10/('Tjek din løn'!Z174-'Tjek din løn'!Z173))/100</f>
        <v>#N/A</v>
      </c>
      <c r="AA176" s="44" t="e">
        <f>(AA175+('Tjek din løn'!$M50-'Tjek din løn'!AA173)*10/('Tjek din løn'!AA174-'Tjek din løn'!AA173))/100</f>
        <v>#N/A</v>
      </c>
      <c r="AB176" s="44" t="e">
        <f>(AB175+('Tjek din løn'!$M50-'Tjek din løn'!AB173)*10/('Tjek din løn'!AB174-'Tjek din løn'!AB173))/100</f>
        <v>#N/A</v>
      </c>
      <c r="AC176" s="44" t="e">
        <f>(AC175+('Tjek din løn'!$M50-'Tjek din løn'!AC173)*10/('Tjek din løn'!AC174-'Tjek din løn'!AC173))/100</f>
        <v>#N/A</v>
      </c>
      <c r="AG176" s="47"/>
    </row>
    <row r="177" spans="21:33" s="44" customFormat="1" ht="15"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</row>
    <row r="178" spans="15:33" s="44" customFormat="1" ht="15">
      <c r="O178" s="44" t="s">
        <v>11</v>
      </c>
      <c r="P178" s="48">
        <f>'Tjek din løn'!M50</f>
        <v>0</v>
      </c>
      <c r="Q178" s="44">
        <f>P178+0.01</f>
        <v>0.01</v>
      </c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</row>
    <row r="179" spans="4:33" s="44" customFormat="1" ht="15"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O179" s="49">
        <v>0.1</v>
      </c>
      <c r="P179" s="44" t="e">
        <f>IF(M$51="STX",D173-0.01,IF(M$51="HHTX",V173-0.01,0))</f>
        <v>#N/A</v>
      </c>
      <c r="Q179" s="44" t="e">
        <f>P179+0.02</f>
        <v>#N/A</v>
      </c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</row>
    <row r="180" spans="2:33" s="44" customFormat="1" ht="15"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O180" s="49">
        <v>0.5</v>
      </c>
      <c r="P180" s="48" t="e">
        <f>IF(M$51="STX",H173-0.01,IF(M$51="HHTX",Z173-0.01,0))</f>
        <v>#N/A</v>
      </c>
      <c r="Q180" s="44" t="e">
        <f>P180+0.02</f>
        <v>#N/A</v>
      </c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</row>
    <row r="181" spans="15:33" s="44" customFormat="1" ht="15">
      <c r="O181" s="49">
        <v>0.9</v>
      </c>
      <c r="P181" s="44" t="e">
        <f>IF(M$51="STX",L173-0.01,IF(M$51="HHTX",AD173-0.01,0))</f>
        <v>#N/A</v>
      </c>
      <c r="Q181" s="44" t="e">
        <f>P181+0.02</f>
        <v>#N/A</v>
      </c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</row>
    <row r="182" spans="15:33" s="44" customFormat="1" ht="15">
      <c r="O182" s="44" t="s">
        <v>12</v>
      </c>
      <c r="P182" s="44">
        <v>0.944</v>
      </c>
      <c r="Q182" s="44">
        <v>0.956</v>
      </c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</row>
    <row r="183" spans="16:33" s="44" customFormat="1" ht="15">
      <c r="P183" s="44">
        <v>0.958</v>
      </c>
      <c r="Q183" s="44">
        <v>0.94</v>
      </c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</row>
    <row r="184" spans="15:33" s="44" customFormat="1" ht="15">
      <c r="O184" s="44" t="s">
        <v>13</v>
      </c>
      <c r="P184" s="44" t="e">
        <f>IF(M$51="STX",C173,IF(M$51="HHTX",U173,0))</f>
        <v>#N/A</v>
      </c>
      <c r="Q184" s="44" t="e">
        <f>IF(M$51="STX",M173,IF(M$51="HHTX",AE173,0))</f>
        <v>#N/A</v>
      </c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</row>
    <row r="185" spans="15:33" s="44" customFormat="1" ht="15">
      <c r="O185" s="44" t="s">
        <v>12</v>
      </c>
      <c r="P185" s="44">
        <v>0.95</v>
      </c>
      <c r="Q185" s="44">
        <v>0.95</v>
      </c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</row>
    <row r="186" spans="15:33" s="44" customFormat="1" ht="15">
      <c r="O186" s="44" t="s">
        <v>6</v>
      </c>
      <c r="P186" s="44" t="e">
        <f>P184</f>
        <v>#N/A</v>
      </c>
      <c r="Q186" s="44" t="e">
        <f>P186+0.01</f>
        <v>#N/A</v>
      </c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</row>
    <row r="187" spans="15:33" s="44" customFormat="1" ht="15">
      <c r="O187" s="44" t="s">
        <v>7</v>
      </c>
      <c r="P187" s="44" t="e">
        <f>Q184</f>
        <v>#N/A</v>
      </c>
      <c r="Q187" s="44" t="e">
        <f>P187+0.01</f>
        <v>#N/A</v>
      </c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</row>
    <row r="188" spans="16:33" s="44" customFormat="1" ht="15">
      <c r="P188" s="44">
        <v>0.948</v>
      </c>
      <c r="Q188" s="44">
        <v>0.952</v>
      </c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</row>
    <row r="189" spans="21:33" s="44" customFormat="1" ht="15"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</row>
    <row r="190" spans="21:33" s="51" customFormat="1" ht="15"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</row>
    <row r="191" spans="21:33" s="51" customFormat="1" ht="15"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</row>
    <row r="192" spans="21:33" s="51" customFormat="1" ht="15"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</row>
    <row r="193" spans="21:33" s="51" customFormat="1" ht="15"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</row>
    <row r="194" spans="21:33" s="51" customFormat="1" ht="15"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</row>
    <row r="195" spans="21:33" s="51" customFormat="1" ht="15"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</row>
    <row r="196" spans="21:33" s="51" customFormat="1" ht="15"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</row>
    <row r="197" spans="21:33" s="51" customFormat="1" ht="15"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</row>
    <row r="198" spans="21:33" s="51" customFormat="1" ht="15"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</row>
    <row r="199" spans="21:33" s="51" customFormat="1" ht="15"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</row>
    <row r="200" spans="21:33" s="66" customFormat="1" ht="15"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</row>
    <row r="201" spans="21:33" s="66" customFormat="1" ht="15"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</row>
    <row r="202" spans="21:33" s="66" customFormat="1" ht="15"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</row>
    <row r="203" spans="21:33" s="66" customFormat="1" ht="15"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</row>
    <row r="204" spans="21:33" s="66" customFormat="1" ht="15"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</row>
    <row r="205" spans="21:33" s="66" customFormat="1" ht="15"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</row>
    <row r="206" spans="21:33" s="66" customFormat="1" ht="15"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</row>
    <row r="207" spans="21:33" s="66" customFormat="1" ht="15"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</row>
    <row r="208" spans="21:33" s="66" customFormat="1" ht="15"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</row>
    <row r="209" spans="21:33" s="66" customFormat="1" ht="15"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</row>
    <row r="210" spans="21:33" s="66" customFormat="1" ht="15"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</row>
    <row r="211" spans="21:33" s="66" customFormat="1" ht="15"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</row>
    <row r="212" spans="21:33" s="15" customFormat="1" ht="15"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</row>
    <row r="213" spans="21:33" s="15" customFormat="1" ht="15"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</row>
    <row r="214" spans="21:33" s="15" customFormat="1" ht="15"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</row>
    <row r="215" spans="21:33" s="15" customFormat="1" ht="15"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</row>
    <row r="216" spans="21:33" s="15" customFormat="1" ht="15"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</row>
    <row r="217" spans="21:33" s="15" customFormat="1" ht="15"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</row>
    <row r="218" spans="21:33" s="15" customFormat="1" ht="15"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</row>
    <row r="219" spans="21:33" s="15" customFormat="1" ht="15"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</row>
    <row r="220" spans="21:33" s="15" customFormat="1" ht="15"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</row>
    <row r="221" spans="21:33" s="15" customFormat="1" ht="15"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</row>
    <row r="222" spans="21:33" s="15" customFormat="1" ht="15"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</row>
    <row r="223" spans="21:33" s="15" customFormat="1" ht="15"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</row>
    <row r="224" spans="21:33" s="15" customFormat="1" ht="15"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</row>
    <row r="225" spans="21:33" s="15" customFormat="1" ht="15"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</row>
    <row r="226" spans="21:33" s="15" customFormat="1" ht="15"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</row>
    <row r="227" spans="21:33" s="15" customFormat="1" ht="15"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</row>
    <row r="228" spans="21:33" s="15" customFormat="1" ht="15"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</row>
    <row r="229" spans="21:33" s="15" customFormat="1" ht="15"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</row>
    <row r="230" spans="21:33" s="15" customFormat="1" ht="15"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</row>
    <row r="231" spans="21:33" s="15" customFormat="1" ht="15"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</row>
    <row r="232" spans="21:33" s="15" customFormat="1" ht="15"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</row>
    <row r="233" spans="21:33" s="15" customFormat="1" ht="15"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</row>
    <row r="234" spans="21:33" s="15" customFormat="1" ht="15"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</row>
    <row r="235" spans="21:33" s="15" customFormat="1" ht="15"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</row>
    <row r="236" spans="21:33" s="15" customFormat="1" ht="15"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</row>
    <row r="237" spans="21:33" s="15" customFormat="1" ht="15"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</row>
    <row r="238" spans="21:33" s="15" customFormat="1" ht="15"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</row>
    <row r="239" spans="21:33" s="15" customFormat="1" ht="15"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</row>
    <row r="240" spans="21:33" s="15" customFormat="1" ht="15"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</row>
    <row r="241" spans="21:33" s="15" customFormat="1" ht="15"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</row>
    <row r="242" spans="21:33" s="15" customFormat="1" ht="15"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</row>
    <row r="243" spans="21:33" s="15" customFormat="1" ht="15"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</row>
    <row r="244" spans="21:33" s="15" customFormat="1" ht="15"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</row>
    <row r="245" spans="21:33" s="15" customFormat="1" ht="15"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</row>
    <row r="246" spans="21:33" s="15" customFormat="1" ht="15"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</row>
    <row r="247" spans="21:33" s="15" customFormat="1" ht="15"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</row>
    <row r="248" spans="21:33" s="15" customFormat="1" ht="15"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</row>
    <row r="249" spans="21:33" s="15" customFormat="1" ht="15"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</row>
    <row r="250" spans="21:33" s="15" customFormat="1" ht="15"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</row>
    <row r="251" spans="21:33" s="15" customFormat="1" ht="15"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</row>
    <row r="252" spans="21:33" s="15" customFormat="1" ht="15"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</row>
    <row r="253" spans="21:33" s="15" customFormat="1" ht="15"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</row>
    <row r="254" spans="21:33" s="15" customFormat="1" ht="15"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</row>
    <row r="255" spans="21:33" s="15" customFormat="1" ht="15"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</row>
    <row r="256" spans="21:33" s="15" customFormat="1" ht="15"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</row>
    <row r="257" spans="21:33" s="15" customFormat="1" ht="15"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</row>
    <row r="258" spans="21:33" s="15" customFormat="1" ht="15"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</row>
    <row r="259" spans="21:33" s="15" customFormat="1" ht="15"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</row>
    <row r="260" spans="21:33" s="15" customFormat="1" ht="15"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</row>
    <row r="261" spans="21:33" s="15" customFormat="1" ht="15"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</row>
  </sheetData>
  <sheetProtection password="D4D3" sheet="1"/>
  <mergeCells count="11">
    <mergeCell ref="A12:D12"/>
    <mergeCell ref="H12:N13"/>
    <mergeCell ref="I14:N14"/>
    <mergeCell ref="A17:F17"/>
    <mergeCell ref="A18:E18"/>
    <mergeCell ref="A14:F14"/>
    <mergeCell ref="H30:L30"/>
    <mergeCell ref="A30:F30"/>
    <mergeCell ref="A16:E16"/>
    <mergeCell ref="A20:G20"/>
    <mergeCell ref="A22:I22"/>
  </mergeCells>
  <conditionalFormatting sqref="I17">
    <cfRule type="expression" priority="12" dxfId="6">
      <formula>OR(G17&lt;=0,G17&gt;1)</formula>
    </cfRule>
  </conditionalFormatting>
  <conditionalFormatting sqref="A23:A25">
    <cfRule type="expression" priority="7" dxfId="6">
      <formula>AND($M$50-$H$8&lt;0)</formula>
    </cfRule>
  </conditionalFormatting>
  <conditionalFormatting sqref="I23">
    <cfRule type="expression" priority="6" dxfId="6">
      <formula>AND($G$5&gt;1000,$M$48&gt;=0,$M$48&lt;&gt;"",$M$48&lt;&gt;$I$5)</formula>
    </cfRule>
  </conditionalFormatting>
  <conditionalFormatting sqref="A3">
    <cfRule type="expression" priority="4" dxfId="7">
      <formula>AND(A53&gt;0)</formula>
    </cfRule>
  </conditionalFormatting>
  <conditionalFormatting sqref="A4">
    <cfRule type="expression" priority="1" dxfId="8">
      <formula>AND(A53&gt;0)</formula>
    </cfRule>
  </conditionalFormatting>
  <conditionalFormatting sqref="J16">
    <cfRule type="expression" priority="13" dxfId="7">
      <formula>$G$16/$G$17&lt;15000</formula>
    </cfRule>
  </conditionalFormatting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Hjørring Gymnasium og 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 Klink</dc:creator>
  <cp:keywords/>
  <dc:description/>
  <cp:lastModifiedBy>ck</cp:lastModifiedBy>
  <cp:lastPrinted>2010-11-24T10:37:12Z</cp:lastPrinted>
  <dcterms:created xsi:type="dcterms:W3CDTF">2010-06-05T19:42:19Z</dcterms:created>
  <dcterms:modified xsi:type="dcterms:W3CDTF">2019-09-30T14:19:59Z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0x010100E53317FB46EE1041B47F200F67324990</vt:lpwstr>
  </property>
  <property fmtid="{D5CDD505-2E9C-101B-9397-08002B2CF9AE}" pid="3" name="GLArticleType">
    <vt:lpwstr/>
  </property>
  <property fmtid="{D5CDD505-2E9C-101B-9397-08002B2CF9AE}" pid="4" name="GL Emneord">
    <vt:lpwstr>410;#Løn|f302eee6-6af7-4188-9704-4ff5bde503b7</vt:lpwstr>
  </property>
  <property fmtid="{D5CDD505-2E9C-101B-9397-08002B2CF9AE}" pid="5" name="GL_stakeholder">
    <vt:lpwstr>1;#Tillidsrepræsentant|5f20749f-5aa9-49d0-8293-832d7cde3dbf</vt:lpwstr>
  </property>
  <property fmtid="{D5CDD505-2E9C-101B-9397-08002B2CF9AE}" pid="6" name="a93a7d9b73d14ebbbe0e2f1de3bb11ba">
    <vt:lpwstr>Løn|f302eee6-6af7-4188-9704-4ff5bde503b7</vt:lpwstr>
  </property>
  <property fmtid="{D5CDD505-2E9C-101B-9397-08002B2CF9AE}" pid="7" name="TaxCatchAll">
    <vt:lpwstr>410;#Løn|f302eee6-6af7-4188-9704-4ff5bde503b7;#1;#Tillidsrepræsentant|5f20749f-5aa9-49d0-8293-832d7cde3dbf</vt:lpwstr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p1ba15bd87af424fbddb96756d9357c6">
    <vt:lpwstr/>
  </property>
  <property fmtid="{D5CDD505-2E9C-101B-9397-08002B2CF9AE}" pid="11" name="GL_SummaryText">
    <vt:lpwstr>Sammenlign din løn med andre gymnasielærere med samme alder og anciennitet.</vt:lpwstr>
  </property>
  <property fmtid="{D5CDD505-2E9C-101B-9397-08002B2CF9AE}" pid="12" name="bec120b27efb45f0900db147dee8d57f">
    <vt:lpwstr>Tillidsrepræsentant|5f20749f-5aa9-49d0-8293-832d7cde3dbf</vt:lpwstr>
  </property>
  <property fmtid="{D5CDD505-2E9C-101B-9397-08002B2CF9AE}" pid="13" name="wic_System_Copyright">
    <vt:lpwstr/>
  </property>
  <property fmtid="{D5CDD505-2E9C-101B-9397-08002B2CF9AE}" pid="14" name="ImageCreateDate">
    <vt:lpwstr/>
  </property>
</Properties>
</file>